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vragrar-my.sharepoint.com/personal/genoadmin_vr-agrar_de/Documents/- VRAgrar Daten/Office-Dateien/Excel/Beleihungswertermittlungen/"/>
    </mc:Choice>
  </mc:AlternateContent>
  <xr:revisionPtr revIDLastSave="12" documentId="13_ncr:1_{4688E753-6EC5-4B25-8358-C7E8946D61BD}" xr6:coauthVersionLast="47" xr6:coauthVersionMax="47" xr10:uidLastSave="{84988FF2-92EC-4301-B564-9CCA5726724F}"/>
  <workbookProtection workbookAlgorithmName="SHA-512" workbookHashValue="DvVXeDydKb6ZfwMtRkfsiy/eTPfx6knyeeX9vgnLHez9mMGqHC4R9bKdGK8sPgpxXKgXPQGhwOppX+FaUxCSuA==" workbookSaltValue="G/E/iwtq/uJipZ0JvFTBBw==" workbookSpinCount="100000" lockStructure="1"/>
  <bookViews>
    <workbookView xWindow="28680" yWindow="-120" windowWidth="29040" windowHeight="15720" xr2:uid="{00000000-000D-0000-FFFF-FFFF00000000}"/>
  </bookViews>
  <sheets>
    <sheet name="Erfassung Daten" sheetId="3" r:id="rId1"/>
    <sheet name="Erfassung DkfL" sheetId="2" r:id="rId2"/>
    <sheet name="Lagerstätten" sheetId="6" r:id="rId3"/>
    <sheet name="Protokoll" sheetId="1" r:id="rId4"/>
    <sheet name="Dokumentation" sheetId="4" r:id="rId5"/>
    <sheet name="Tabelle1" sheetId="7" r:id="rId6"/>
  </sheets>
  <definedNames>
    <definedName name="_xlnm.Print_Area" localSheetId="4">Dokumentation!$A$1:$A$240</definedName>
    <definedName name="_xlnm.Print_Area" localSheetId="0">'Erfassung Daten'!$A$1:$S$58</definedName>
    <definedName name="_xlnm.Print_Area" localSheetId="1">'Erfassung DkfL'!$A$1:$N$27</definedName>
    <definedName name="_xlnm.Print_Area" localSheetId="2">Lagerstätten!$A$1:$M$63</definedName>
    <definedName name="_xlnm.Print_Area" localSheetId="3">Protokoll!$A$1:$F$60</definedName>
  </definedNames>
  <calcPr calcId="191029"/>
</workbook>
</file>

<file path=xl/calcChain.xml><?xml version="1.0" encoding="utf-8"?>
<calcChain xmlns="http://schemas.openxmlformats.org/spreadsheetml/2006/main">
  <c r="P11" i="3" l="1"/>
  <c r="N22" i="2"/>
  <c r="J26" i="2"/>
  <c r="I26" i="2"/>
  <c r="H26" i="2"/>
  <c r="G26" i="2"/>
  <c r="F26" i="2"/>
  <c r="E26" i="2"/>
  <c r="D26" i="2"/>
  <c r="F23" i="2"/>
  <c r="E23" i="2"/>
  <c r="D23" i="2"/>
  <c r="J22" i="2"/>
  <c r="I22" i="2"/>
  <c r="H22" i="2"/>
  <c r="G22" i="2"/>
  <c r="F22" i="2"/>
  <c r="E22" i="2"/>
  <c r="D22" i="2"/>
  <c r="J21" i="2"/>
  <c r="I21" i="2"/>
  <c r="H21" i="2"/>
  <c r="G21" i="2"/>
  <c r="F21" i="2"/>
  <c r="E21" i="2"/>
  <c r="D21" i="2"/>
  <c r="M9" i="3"/>
  <c r="N9" i="3" s="1"/>
  <c r="X8" i="3" l="1"/>
  <c r="X7" i="3"/>
  <c r="W8" i="3"/>
  <c r="W7" i="3"/>
  <c r="X6" i="3"/>
  <c r="W6" i="3"/>
  <c r="L10" i="3"/>
  <c r="M10" i="3" s="1"/>
  <c r="N10" i="3" s="1"/>
  <c r="N3" i="2" l="1"/>
  <c r="F53" i="3" l="1"/>
  <c r="E53" i="3"/>
  <c r="F27" i="3"/>
  <c r="F26" i="3"/>
  <c r="F25" i="3"/>
  <c r="F24" i="3"/>
  <c r="F23" i="3"/>
  <c r="F22" i="3"/>
  <c r="F21" i="3"/>
  <c r="F20" i="3"/>
  <c r="F19" i="3"/>
  <c r="F18" i="3"/>
  <c r="F17" i="3"/>
  <c r="F16" i="3"/>
  <c r="F14" i="3"/>
  <c r="F12" i="3"/>
  <c r="F10" i="3"/>
  <c r="F11" i="3" s="1"/>
  <c r="F9" i="3"/>
  <c r="F8" i="3"/>
  <c r="F7" i="3"/>
  <c r="F6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4" i="3"/>
  <c r="E12" i="3"/>
  <c r="E10" i="3"/>
  <c r="E11" i="3" s="1"/>
  <c r="E9" i="3"/>
  <c r="E8" i="3"/>
  <c r="E7" i="3"/>
  <c r="E6" i="3"/>
  <c r="B53" i="3" l="1"/>
  <c r="B29" i="3"/>
  <c r="B28" i="3"/>
  <c r="B27" i="3"/>
  <c r="B26" i="3" l="1"/>
  <c r="B25" i="3"/>
  <c r="B24" i="3"/>
  <c r="B23" i="3"/>
  <c r="B22" i="3"/>
  <c r="B21" i="3"/>
  <c r="B20" i="3"/>
  <c r="B14" i="3"/>
  <c r="B9" i="3"/>
  <c r="B8" i="3"/>
  <c r="F15" i="3"/>
  <c r="F13" i="3"/>
  <c r="E13" i="3" l="1"/>
  <c r="E15" i="3"/>
  <c r="P11" i="2"/>
  <c r="G17" i="6" l="1"/>
  <c r="K20" i="6"/>
  <c r="K19" i="6"/>
  <c r="K10" i="6"/>
  <c r="K9" i="6"/>
  <c r="L12" i="3" l="1"/>
  <c r="L13" i="3" s="1"/>
  <c r="L11" i="3"/>
  <c r="J11" i="3"/>
  <c r="J10" i="3"/>
  <c r="A3" i="2" l="1"/>
  <c r="A25" i="2"/>
  <c r="A26" i="2"/>
  <c r="M29" i="3" l="1"/>
  <c r="N29" i="3" s="1"/>
  <c r="K29" i="3"/>
  <c r="C29" i="3"/>
  <c r="C28" i="3"/>
  <c r="C27" i="3"/>
  <c r="G27" i="3" s="1"/>
  <c r="M26" i="3"/>
  <c r="K26" i="3"/>
  <c r="C26" i="3"/>
  <c r="M25" i="3"/>
  <c r="K25" i="3"/>
  <c r="C25" i="3"/>
  <c r="M24" i="3"/>
  <c r="N24" i="3" s="1"/>
  <c r="K24" i="3"/>
  <c r="C24" i="3"/>
  <c r="M23" i="3"/>
  <c r="K23" i="3"/>
  <c r="C23" i="3"/>
  <c r="O22" i="3"/>
  <c r="M22" i="3"/>
  <c r="K22" i="3"/>
  <c r="C22" i="3"/>
  <c r="M21" i="3"/>
  <c r="N21" i="3" s="1"/>
  <c r="K21" i="3"/>
  <c r="C21" i="3"/>
  <c r="M20" i="3"/>
  <c r="K20" i="3"/>
  <c r="C20" i="3"/>
  <c r="M19" i="3"/>
  <c r="K19" i="3"/>
  <c r="D19" i="3"/>
  <c r="B19" i="3" s="1"/>
  <c r="M18" i="3"/>
  <c r="N18" i="3" s="1"/>
  <c r="K18" i="3"/>
  <c r="D18" i="3"/>
  <c r="B18" i="3" s="1"/>
  <c r="M17" i="3"/>
  <c r="K17" i="3"/>
  <c r="D17" i="3"/>
  <c r="B17" i="3" s="1"/>
  <c r="O16" i="3"/>
  <c r="M16" i="3"/>
  <c r="K16" i="3"/>
  <c r="D16" i="3"/>
  <c r="B16" i="3" s="1"/>
  <c r="M15" i="3"/>
  <c r="J15" i="3"/>
  <c r="K15" i="3" s="1"/>
  <c r="M14" i="3"/>
  <c r="N14" i="3" s="1"/>
  <c r="K14" i="3"/>
  <c r="D14" i="3"/>
  <c r="C14" i="3" s="1"/>
  <c r="K13" i="3"/>
  <c r="D13" i="3"/>
  <c r="M12" i="3"/>
  <c r="N12" i="3" s="1"/>
  <c r="K12" i="3"/>
  <c r="D12" i="3"/>
  <c r="B12" i="3" s="1"/>
  <c r="M11" i="3"/>
  <c r="N11" i="3" s="1"/>
  <c r="K11" i="3"/>
  <c r="D11" i="3"/>
  <c r="K10" i="3"/>
  <c r="D10" i="3"/>
  <c r="B10" i="3" s="1"/>
  <c r="K9" i="3"/>
  <c r="D9" i="3"/>
  <c r="C9" i="3" s="1"/>
  <c r="L8" i="3"/>
  <c r="M8" i="3" s="1"/>
  <c r="N8" i="3" s="1"/>
  <c r="J8" i="3"/>
  <c r="D8" i="3" s="1"/>
  <c r="C8" i="3" s="1"/>
  <c r="L7" i="3"/>
  <c r="M7" i="3" s="1"/>
  <c r="N7" i="3" s="1"/>
  <c r="J7" i="3"/>
  <c r="D7" i="3" s="1"/>
  <c r="B7" i="3" s="1"/>
  <c r="L6" i="3"/>
  <c r="M6" i="3" s="1"/>
  <c r="N6" i="3" s="1"/>
  <c r="J6" i="3"/>
  <c r="K6" i="3" s="1"/>
  <c r="N17" i="2"/>
  <c r="N27" i="2"/>
  <c r="N26" i="2"/>
  <c r="N25" i="2"/>
  <c r="N24" i="2"/>
  <c r="N23" i="2"/>
  <c r="N21" i="2"/>
  <c r="N20" i="2"/>
  <c r="N19" i="2"/>
  <c r="N18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C11" i="6"/>
  <c r="C17" i="6" s="1"/>
  <c r="C29" i="6"/>
  <c r="C30" i="6"/>
  <c r="K12" i="6"/>
  <c r="K11" i="6"/>
  <c r="K22" i="6"/>
  <c r="K21" i="6"/>
  <c r="G11" i="6"/>
  <c r="G15" i="6" s="1"/>
  <c r="C13" i="6"/>
  <c r="C19" i="6" s="1"/>
  <c r="G13" i="6"/>
  <c r="A27" i="2"/>
  <c r="M54" i="3"/>
  <c r="N54" i="3" s="1"/>
  <c r="K54" i="3"/>
  <c r="G54" i="3"/>
  <c r="C54" i="3"/>
  <c r="C53" i="3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M53" i="3"/>
  <c r="N53" i="3" s="1"/>
  <c r="K53" i="3"/>
  <c r="M31" i="3"/>
  <c r="C33" i="3"/>
  <c r="C31" i="3"/>
  <c r="G31" i="3" s="1"/>
  <c r="C4" i="3"/>
  <c r="C32" i="3"/>
  <c r="M33" i="3"/>
  <c r="N33" i="3" s="1"/>
  <c r="C30" i="3"/>
  <c r="E30" i="3"/>
  <c r="F30" i="3"/>
  <c r="F4" i="3"/>
  <c r="E4" i="3"/>
  <c r="N1" i="3"/>
  <c r="K31" i="3"/>
  <c r="K33" i="3"/>
  <c r="K33" i="6" l="1"/>
  <c r="K36" i="6" s="1"/>
  <c r="K39" i="6" s="1"/>
  <c r="H27" i="3"/>
  <c r="G28" i="3"/>
  <c r="G24" i="3"/>
  <c r="G21" i="3"/>
  <c r="G25" i="3"/>
  <c r="H20" i="3"/>
  <c r="G26" i="3"/>
  <c r="K8" i="3"/>
  <c r="P6" i="2"/>
  <c r="P7" i="2"/>
  <c r="P15" i="2"/>
  <c r="P24" i="2"/>
  <c r="P8" i="2"/>
  <c r="P16" i="2"/>
  <c r="G33" i="3"/>
  <c r="P25" i="2"/>
  <c r="P18" i="2"/>
  <c r="P26" i="2"/>
  <c r="P14" i="2"/>
  <c r="P9" i="2"/>
  <c r="P10" i="2"/>
  <c r="P19" i="2"/>
  <c r="P27" i="2"/>
  <c r="P17" i="2"/>
  <c r="P20" i="2"/>
  <c r="P4" i="2"/>
  <c r="P12" i="2"/>
  <c r="P21" i="2"/>
  <c r="P23" i="2"/>
  <c r="P3" i="2"/>
  <c r="P5" i="2"/>
  <c r="P13" i="2"/>
  <c r="P22" i="2"/>
  <c r="K50" i="6"/>
  <c r="K52" i="6" s="1"/>
  <c r="K54" i="6" s="1"/>
  <c r="L57" i="6" s="1"/>
  <c r="L59" i="6" s="1"/>
  <c r="L61" i="6" s="1"/>
  <c r="G50" i="6"/>
  <c r="G52" i="6" s="1"/>
  <c r="G54" i="6" s="1"/>
  <c r="G57" i="6" s="1"/>
  <c r="G61" i="6" s="1"/>
  <c r="G53" i="3"/>
  <c r="N25" i="3"/>
  <c r="N16" i="3"/>
  <c r="N17" i="3"/>
  <c r="N26" i="3"/>
  <c r="N20" i="3"/>
  <c r="N19" i="3"/>
  <c r="N23" i="3"/>
  <c r="N15" i="3"/>
  <c r="N22" i="3"/>
  <c r="N31" i="3"/>
  <c r="C17" i="3"/>
  <c r="C7" i="3"/>
  <c r="H25" i="3"/>
  <c r="H29" i="3"/>
  <c r="H28" i="3"/>
  <c r="H21" i="3"/>
  <c r="C19" i="3"/>
  <c r="C18" i="3"/>
  <c r="C16" i="3"/>
  <c r="C10" i="3"/>
  <c r="B11" i="3" s="1"/>
  <c r="H53" i="3"/>
  <c r="K7" i="3"/>
  <c r="C31" i="6"/>
  <c r="D15" i="3"/>
  <c r="G14" i="3"/>
  <c r="H14" i="3"/>
  <c r="H22" i="3"/>
  <c r="G22" i="3"/>
  <c r="G19" i="6"/>
  <c r="H8" i="3"/>
  <c r="G8" i="3"/>
  <c r="H24" i="3"/>
  <c r="K31" i="6"/>
  <c r="G33" i="6"/>
  <c r="G31" i="6"/>
  <c r="K30" i="6"/>
  <c r="H9" i="3"/>
  <c r="G9" i="3"/>
  <c r="G23" i="3"/>
  <c r="H23" i="3"/>
  <c r="H26" i="3"/>
  <c r="L36" i="6"/>
  <c r="L39" i="6" s="1"/>
  <c r="C34" i="6"/>
  <c r="G20" i="3"/>
  <c r="G29" i="3"/>
  <c r="C32" i="6"/>
  <c r="H31" i="3"/>
  <c r="G30" i="6"/>
  <c r="D6" i="3"/>
  <c r="B6" i="3" s="1"/>
  <c r="B15" i="3" l="1"/>
  <c r="H57" i="6"/>
  <c r="H61" i="6" s="1"/>
  <c r="K57" i="6"/>
  <c r="K59" i="6" s="1"/>
  <c r="K61" i="6" s="1"/>
  <c r="G7" i="3"/>
  <c r="H7" i="3"/>
  <c r="G18" i="3"/>
  <c r="H18" i="3"/>
  <c r="H17" i="3"/>
  <c r="G17" i="3"/>
  <c r="C12" i="3"/>
  <c r="B13" i="3" s="1"/>
  <c r="C6" i="3"/>
  <c r="H19" i="3"/>
  <c r="G19" i="3"/>
  <c r="H16" i="3"/>
  <c r="G16" i="3"/>
  <c r="H10" i="3"/>
  <c r="G11" i="3"/>
  <c r="G10" i="3"/>
  <c r="D37" i="6"/>
  <c r="D40" i="6" s="1"/>
  <c r="C37" i="6"/>
  <c r="C40" i="6" s="1"/>
  <c r="M13" i="3"/>
  <c r="N13" i="3" s="1"/>
  <c r="C50" i="6"/>
  <c r="C52" i="6" s="1"/>
  <c r="C54" i="6" s="1"/>
  <c r="H11" i="3"/>
  <c r="C11" i="3"/>
  <c r="G37" i="6"/>
  <c r="G39" i="6" s="1"/>
  <c r="G41" i="6" s="1"/>
  <c r="H37" i="6"/>
  <c r="H38" i="6" s="1"/>
  <c r="H41" i="6" s="1"/>
  <c r="H15" i="3" l="1"/>
  <c r="G15" i="3"/>
  <c r="C15" i="3"/>
  <c r="H12" i="3"/>
  <c r="G12" i="3"/>
  <c r="G6" i="3"/>
  <c r="H6" i="3"/>
  <c r="C13" i="3"/>
  <c r="H13" i="3"/>
  <c r="G13" i="3"/>
  <c r="C57" i="6"/>
  <c r="C59" i="6" s="1"/>
  <c r="C61" i="6" s="1"/>
  <c r="D57" i="6"/>
  <c r="D59" i="6" s="1"/>
  <c r="D61" i="6" s="1"/>
</calcChain>
</file>

<file path=xl/sharedStrings.xml><?xml version="1.0" encoding="utf-8"?>
<sst xmlns="http://schemas.openxmlformats.org/spreadsheetml/2006/main" count="794" uniqueCount="510">
  <si>
    <t>langfristig</t>
  </si>
  <si>
    <t>mittelfristig</t>
  </si>
  <si>
    <t>kurzfristig</t>
  </si>
  <si>
    <t>Bewirtschaftungskosten</t>
  </si>
  <si>
    <t>Unterhaltung</t>
  </si>
  <si>
    <t>pro</t>
  </si>
  <si>
    <t>Stallplatz</t>
  </si>
  <si>
    <t xml:space="preserve">pro </t>
  </si>
  <si>
    <t>€</t>
  </si>
  <si>
    <t>Flächenbedarf</t>
  </si>
  <si>
    <t>ha</t>
  </si>
  <si>
    <t>m³</t>
  </si>
  <si>
    <t>Arbeit</t>
  </si>
  <si>
    <t>Bedarf</t>
  </si>
  <si>
    <t>pro Stallplatz</t>
  </si>
  <si>
    <t>Akh</t>
  </si>
  <si>
    <t>Anzahl</t>
  </si>
  <si>
    <t>Minimum</t>
  </si>
  <si>
    <t>Entlohnung pro Akh</t>
  </si>
  <si>
    <t>Stück</t>
  </si>
  <si>
    <t>NEL MJ/ha</t>
  </si>
  <si>
    <t>%</t>
  </si>
  <si>
    <t>Zinssatz für Verzinsung und Barwertberechnung</t>
  </si>
  <si>
    <t>Datenerfassung Beleihungswertermittlung landwirtschaftlicher Gebäude</t>
  </si>
  <si>
    <t>Quellenangabe</t>
  </si>
  <si>
    <t>Einheit</t>
  </si>
  <si>
    <t>Aufwand</t>
  </si>
  <si>
    <t>Leistung</t>
  </si>
  <si>
    <t>kg/Kuh</t>
  </si>
  <si>
    <t>Abschlag Marktanpassung</t>
  </si>
  <si>
    <t>Stand</t>
  </si>
  <si>
    <t>Leistungsangaben</t>
  </si>
  <si>
    <t>Dungentsorgungskosten Rinder- und Schweinegülle pro m³</t>
  </si>
  <si>
    <t>Dungentsorgungskosten Geflügelmist pro t</t>
  </si>
  <si>
    <t>Mutterkuhhaltung mit Verkauf Absetzer</t>
  </si>
  <si>
    <t>Sauenstall mit Ferkelverkauf ab 25 kg</t>
  </si>
  <si>
    <t>Sauenstall mit Ferkelverkauf ab 7 bis 10 kg</t>
  </si>
  <si>
    <t xml:space="preserve">Ferkelaufzuchtstall mit Verkauf ab 25 kg </t>
  </si>
  <si>
    <t>Hähnchenmaststall</t>
  </si>
  <si>
    <t>Legehennenstall, Bruteierproduktion</t>
  </si>
  <si>
    <t>Legehennenstall, Freilandeierproduktion</t>
  </si>
  <si>
    <t>Legehennenstall, Bio-Eierproduktion</t>
  </si>
  <si>
    <t>Kälbermaststall, automatische Tränke</t>
  </si>
  <si>
    <t>Nutzungsdauer in Jahren</t>
  </si>
  <si>
    <t>Bullenmast mit Fresser ca. 12 Monate Mast</t>
  </si>
  <si>
    <t>Bullenmast mit Kälberaufzucht ca. 18 Monate Mast</t>
  </si>
  <si>
    <t>Jungviehaufzuchtstall mit Kälberaufzucht ca. 24 Mon.</t>
  </si>
  <si>
    <t>Bewertung Viehvermögen</t>
  </si>
  <si>
    <t xml:space="preserve">Bestandsbewertung der Landvolkbuchstellen </t>
  </si>
  <si>
    <t>Berechnungsgrundlagen für die Investitionskosten,</t>
  </si>
  <si>
    <t>Bewirtschaftungskosten, Flächenbedarf, Dunganfall</t>
  </si>
  <si>
    <t>Pachtansatz je ha ohne Ausgleichszahlungen</t>
  </si>
  <si>
    <t>Stallgebäude</t>
  </si>
  <si>
    <t>Nutzungsdauer allgemein</t>
  </si>
  <si>
    <t>Maschinenhallen</t>
  </si>
  <si>
    <t>Biogasanlagen</t>
  </si>
  <si>
    <t>Quellenangaben</t>
  </si>
  <si>
    <t>Jahre</t>
  </si>
  <si>
    <t>Lagerhallen mit Lüftungstechnik</t>
  </si>
  <si>
    <t>Fläche, Arbeit, Dungentsorgung, Bewirtschaftungskosten, Zinssätze:</t>
  </si>
  <si>
    <t>Fresseraufzuchtstall, Tränkeautomat</t>
  </si>
  <si>
    <t>Schweinemaststall, Außenklimastall</t>
  </si>
  <si>
    <t>Schweinemaststall, konventioneller Stall</t>
  </si>
  <si>
    <t>Photovoltaikanlagen</t>
  </si>
  <si>
    <t>Maschinenhalle:</t>
  </si>
  <si>
    <t>Rohmiete</t>
  </si>
  <si>
    <t xml:space="preserve">KTBL Datensammelung 2006/2007, Seiten 567 bis 584 </t>
  </si>
  <si>
    <t>per</t>
  </si>
  <si>
    <t>pro Kuh</t>
  </si>
  <si>
    <t>pro Kalb</t>
  </si>
  <si>
    <t>pro Rind</t>
  </si>
  <si>
    <t>pro Bulle</t>
  </si>
  <si>
    <t>pro Sau</t>
  </si>
  <si>
    <t>pro Ferkel</t>
  </si>
  <si>
    <t>pro Schwein</t>
  </si>
  <si>
    <t>pro Pute</t>
  </si>
  <si>
    <t>pro Ente</t>
  </si>
  <si>
    <t>pro Hähnchen</t>
  </si>
  <si>
    <t>pro Henne</t>
  </si>
  <si>
    <t>€/PE</t>
  </si>
  <si>
    <t>Erfahrungswerte VR AgrarBeratung AG</t>
  </si>
  <si>
    <t>Protokoll Datenpflege</t>
  </si>
  <si>
    <t>Datum</t>
  </si>
  <si>
    <t>Kalverkamp, Johann</t>
  </si>
  <si>
    <t>Organisation/Firma</t>
  </si>
  <si>
    <t>in Weser-Ems auf steuerlicher Basis</t>
  </si>
  <si>
    <t>Quellenangabe:</t>
  </si>
  <si>
    <t>Richtsatz Weser-Ems</t>
  </si>
  <si>
    <t>Protokoll Plausibilitätsprüfung</t>
  </si>
  <si>
    <t>Mietausfallwagnis</t>
  </si>
  <si>
    <t>€/m²/Monat</t>
  </si>
  <si>
    <t>Quellenangaben:</t>
  </si>
  <si>
    <t>pro KW el.</t>
  </si>
  <si>
    <t>pro KWp</t>
  </si>
  <si>
    <t>von Baukosten</t>
  </si>
  <si>
    <t>Versicherung</t>
  </si>
  <si>
    <t>und Verwaltung</t>
  </si>
  <si>
    <t xml:space="preserve">Getreidelagerhalle mit Lüftung </t>
  </si>
  <si>
    <t xml:space="preserve">Maschinenhalle </t>
  </si>
  <si>
    <t xml:space="preserve">Biogasanlage </t>
  </si>
  <si>
    <t>Photovoltaikanlage</t>
  </si>
  <si>
    <t>Putenmaststall (50% Hähne, 50% Hennen)</t>
  </si>
  <si>
    <t>Entenmaststall, Pekingenten</t>
  </si>
  <si>
    <t>erzeugten Milchleistungen und Leistungen</t>
  </si>
  <si>
    <t>Input</t>
  </si>
  <si>
    <t>€/m³</t>
  </si>
  <si>
    <t>Monate</t>
  </si>
  <si>
    <t>Mindestlagerdauer für Gülle</t>
  </si>
  <si>
    <t>Bauhülle</t>
  </si>
  <si>
    <t>Gülle</t>
  </si>
  <si>
    <t>langfristig, Bauhülle und Güllelager</t>
  </si>
  <si>
    <t>Differenzierung bei den Berechnungen</t>
  </si>
  <si>
    <t xml:space="preserve">% </t>
  </si>
  <si>
    <t>DGRV-RS-01-06-G-RL Biogas und Photovoltaik</t>
  </si>
  <si>
    <t>Erfassung der Deckungsbeiträge</t>
  </si>
  <si>
    <t>Ferkel/Sau</t>
  </si>
  <si>
    <t>Plätze/Sau</t>
  </si>
  <si>
    <t>Veer, Martin</t>
  </si>
  <si>
    <t>VR AgrarBeratung AG</t>
  </si>
  <si>
    <t>Unterhaltung Photovoltaikanlage vom DB</t>
  </si>
  <si>
    <t>Getreidelagerhalle</t>
  </si>
  <si>
    <t>Kartoffellagerhalle</t>
  </si>
  <si>
    <t>Lagergebühren</t>
  </si>
  <si>
    <t>pro Monat vom Warenwert</t>
  </si>
  <si>
    <t>pro t</t>
  </si>
  <si>
    <t>Monate durchschn. Lagerdauer</t>
  </si>
  <si>
    <t>% Schwund/Mon.</t>
  </si>
  <si>
    <t>Grofer, Markus</t>
  </si>
  <si>
    <t>Grundlagen der durchschnittlich</t>
  </si>
  <si>
    <t>Unterhaltung Biogasanlage (außer BHKW)</t>
  </si>
  <si>
    <t>Stöppelmann, Stefan</t>
  </si>
  <si>
    <t>Stöppelmann, Hellbrügge</t>
  </si>
  <si>
    <t>Erfahrungswerte VR AgrarBeratung AG, 500 KW Anlage</t>
  </si>
  <si>
    <t>Veer, Stöppelmann</t>
  </si>
  <si>
    <t>Richtwert DB LWK Niedersachsen 2012, Seite 93</t>
  </si>
  <si>
    <t>Erfahrungswerte VR AgrarBeratung AG, 30 KWp Anlage</t>
  </si>
  <si>
    <t>Erfahrungswerte VR Agraberatung AG</t>
  </si>
  <si>
    <t>Stöppelmann, Haarannen</t>
  </si>
  <si>
    <t>Windkraftanlage</t>
  </si>
  <si>
    <t>Nutzungsdauer</t>
  </si>
  <si>
    <t>pro KW</t>
  </si>
  <si>
    <t>Zinssatz für Barwertberechnung</t>
  </si>
  <si>
    <t>Boxenlaufstall, Melkroboter oder Melkkarussell</t>
  </si>
  <si>
    <t>Volllaststunden</t>
  </si>
  <si>
    <t>AVD Lingen und Firma Bollmer Wietmarschen 2014</t>
  </si>
  <si>
    <t>KTBL Datensammelung 2014/2015, Seite 784, Erfahrungswerte VR AgrarBeratung AG</t>
  </si>
  <si>
    <t>Ruhe, Dirk</t>
  </si>
  <si>
    <t>Update 3.4.6  per Juli 2015:</t>
  </si>
  <si>
    <t>Hinweis: Die bisherigen Änderungen, Erweiterungen und Anpassungen im Programm und im Datenblatt wurden in den "Hinweisen für die Nutzer" dokumentiert.</t>
  </si>
  <si>
    <t xml:space="preserve">2014 wurden eingepflegt. </t>
  </si>
  <si>
    <t>Erfassung DkfL: Für das Jahr 2014 wurde eine neue Spalte eingefügt und die Spalte für das Jahr 2004 entfernt. Sämtliche Direktkostenfreien Leistungen für das Jahr</t>
  </si>
  <si>
    <t>Für alle Bereiche erfolgte die Dokumentation der Datenherkunft. Die Nachweise dazu sind bei Bedarf bei der VR AgrarBeratung AG einsehbar.</t>
  </si>
  <si>
    <t>Erfassung Daten:  Die gesamten Baukosten wurden überprüft und aktualisiert. Für alle weiteren Daten erfolgten umfangreiche Plausibilitätsprüfungen. Insbesondere</t>
  </si>
  <si>
    <t>Das Bewertungsblatt "Boxenlaufstall 1" wurde um eine Drop Down Auswahlliste erweitert. Der Nutzer kann nun das Melksystem des zu bewerteten Boxenlaufstalles</t>
  </si>
  <si>
    <t>mittels dieser Liste wählen. Die Auswahl der Melksysteme kann der Nutzer selbst im Listenfeld Nr. 10 in "Stammdaten 2" vorgeben.</t>
  </si>
  <si>
    <t>durch die Bundesnetzagentur eine Angleichung erfolgt.</t>
  </si>
  <si>
    <t>Erfahrungswerte LWK Niedersachen</t>
  </si>
  <si>
    <t>Kalkulationsdaten LWK Niedersachsen 02/15</t>
  </si>
  <si>
    <t>KTBL Datensammelung 2014/2015, Baukostenermittlung</t>
  </si>
  <si>
    <t>KTBL Datensammelung 2012/13, Seite 508</t>
  </si>
  <si>
    <t>KTBL Datensammelung 2014/2015, Seiten 778 bis 788</t>
  </si>
  <si>
    <t>tieferen Analyse hingewiesen. Für die Analyse wurde die "Checkliste Filtererlass" entworfen. Nach einem Ausschlussverfahren bezüglich der einzelnen Schritte</t>
  </si>
  <si>
    <t>behörde obliegt. Der Genehmigungsempfänger braucht erst tätig werden, sobald eine Aufforderung der Genehmigungsbehörde vorliegt. Dann gilt jedoch die</t>
  </si>
  <si>
    <t>werden die Schwellenwerte eingetragen. Bei Erreichen der Schwellenwerte in den dafür angedachten Produktionsverfahren wird auf die Notwendigkeit der</t>
  </si>
  <si>
    <t>bei Stalleinheiten, welche sich im Ablauf der Abfolge gemäß Checkliste befinden, können nach wie vor bewertet werden. Wird jedoch der Ablauf in Gang gesetzt, sollte</t>
  </si>
  <si>
    <t>In der Version 3.4.7 wurde der für einige Bundesländer geltende sogenannte "Filtererlass" programmtechnisch umgesetzt. In Stammdaten 2 unter Punkt 13</t>
  </si>
  <si>
    <t>gegenüber dem Empfänger der gültigen Baugenehmigung vorliegt. Bitte berücksichtigen Sie, es handelt sich um einen Erlass, deren Umsetzung der Genehmigungs-</t>
  </si>
  <si>
    <t>Biogas</t>
  </si>
  <si>
    <t>Verfügbarkeitsverlust in %</t>
  </si>
  <si>
    <t>Verlust Abschaltung in %</t>
  </si>
  <si>
    <t>technischer Leistungsverlust in %</t>
  </si>
  <si>
    <t>sonstiger Verlust</t>
  </si>
  <si>
    <t xml:space="preserve">Erfahrungswerte VR AgrarBeratung AG </t>
  </si>
  <si>
    <t>Ratingtool parcIT 2015, Tochter BVR</t>
  </si>
  <si>
    <t xml:space="preserve">DGRV-RS-01-06-G-RL Photovoltaik, Ratingergebnisse parcIT (BVR Tochtergesellschaft) 2015 </t>
  </si>
  <si>
    <t xml:space="preserve">Die aktuellen Vergütungssätze für Wind und PV sind eingepflegt. Bitte diese nach wie vor auf Änderung wegen Zubau prüfen. </t>
  </si>
  <si>
    <t>Zusätzlich wurde die Möglichkeit geschaffen, für den Bereich der Grundfutterlagerung und den Produktionsverfahren zugeordnet, Lagerstätten zu bewerten.</t>
  </si>
  <si>
    <t>Silagelagerstätten mit oder ohne Seitenwände erfolgen. Die Lagerstätten sollten auch den Anforderungen der Verordnung entsprechen.</t>
  </si>
  <si>
    <t>In der Version 3.4.5 wurden die Stammdaten im Bereich "Stammdaten 2" unter Punkt 7 nicht aktualisiert. Dieser Fehler wurde behoben.</t>
  </si>
  <si>
    <t>Im Deckblatt wurde die Nr. der aktuellen Version eingefügt.</t>
  </si>
  <si>
    <t>Für den Bereich Photovoltaik erfolgte die Eingabe der aktuell gültigen Vergütungssätze. Die sollten durch die Nutzer laufend überprüft werden, da je nach Zubau</t>
  </si>
  <si>
    <t>Tochter parcIT GmbH hat Werte aufgrund von Eingaben in dessen Ratingtool ermittelt. Diese Werte werden laut in dem Arbeitsblatt "Erfassung Daten" vorgegeben,</t>
  </si>
  <si>
    <t>Investitonsbedarf Fahrsiloanlagen</t>
  </si>
  <si>
    <t>Siloplatte ohne Seitenwände</t>
  </si>
  <si>
    <t>Länge</t>
  </si>
  <si>
    <t>m</t>
  </si>
  <si>
    <t>Dichte</t>
  </si>
  <si>
    <t>t/m³</t>
  </si>
  <si>
    <t xml:space="preserve">Breite </t>
  </si>
  <si>
    <t>Lagerverluste</t>
  </si>
  <si>
    <t>Höhe</t>
  </si>
  <si>
    <t>Grundfläche</t>
  </si>
  <si>
    <t>m²</t>
  </si>
  <si>
    <t>Nutzvolumen</t>
  </si>
  <si>
    <t>Investitionsbedarf</t>
  </si>
  <si>
    <t>€/m²</t>
  </si>
  <si>
    <t>Quelle: LWK Niedersachsen Osnabrück Ludger Bernhold</t>
  </si>
  <si>
    <t>Milchleistung</t>
  </si>
  <si>
    <t>Liter</t>
  </si>
  <si>
    <t>Stallhaltung</t>
  </si>
  <si>
    <t>Grundfutterleistung</t>
  </si>
  <si>
    <t>Aufzuchtdauer</t>
  </si>
  <si>
    <t>Maissilage</t>
  </si>
  <si>
    <t>Grassilage</t>
  </si>
  <si>
    <t>Grundfutterbedarf</t>
  </si>
  <si>
    <t>t/Kuh/Jahr</t>
  </si>
  <si>
    <t>Silowände</t>
  </si>
  <si>
    <t>(incl. Silierverluste)</t>
  </si>
  <si>
    <t>m³/Kuh/Jahr</t>
  </si>
  <si>
    <t>Mastdauer</t>
  </si>
  <si>
    <t>t/Bulle</t>
  </si>
  <si>
    <t>kg/Fresser</t>
  </si>
  <si>
    <t>Grundfutteraufnahme</t>
  </si>
  <si>
    <t>m³/Bulle/Jahr</t>
  </si>
  <si>
    <t>m³/Fresser/Jahr</t>
  </si>
  <si>
    <t>MJ NEL/kg FM</t>
  </si>
  <si>
    <t>ME/kg FM</t>
  </si>
  <si>
    <t>MJ NEL/t TS</t>
  </si>
  <si>
    <t>ME/t TS</t>
  </si>
  <si>
    <t>Trockensubstanz</t>
  </si>
  <si>
    <t>Annahmen Grassilage</t>
  </si>
  <si>
    <t>Annahmen Maissilage</t>
  </si>
  <si>
    <t>Mastdauer ca.</t>
  </si>
  <si>
    <t>Anlagenkapazität</t>
  </si>
  <si>
    <t>Energiegehalt</t>
  </si>
  <si>
    <t>t/aufgezogene Färse</t>
  </si>
  <si>
    <t>m³/aufgezogene Färse</t>
  </si>
  <si>
    <t>Die Tierplatzschwellenwerte sind in Stammdaten 2 erfasst und können bei Bedarf der jeweils aktuellen Gesetzeslage angepasst werden.</t>
  </si>
  <si>
    <t>sind aber im Programm in den Stammdaten 1 veränderbar. Diese Angaben gelten für die EEG Anlagen Biogas, Wind und PV.</t>
  </si>
  <si>
    <t xml:space="preserve">Für den Bereich Biogas wurde nun die Möglichkeit geschaffen, die Laufzeit des BHKW bei Vorliegen eines Wartungsvertrages oder Vorlage nachweislich (Beleg)  </t>
  </si>
  <si>
    <t>von 6 Jahre auf 8 Jahre erhöht. Bei Vorlage eines Vollwartungsvertrages ist die Laufzeiterhöhung von Anfang an möglich, ohne Vollwartungsvertrag erst bei tatsächlicher</t>
  </si>
  <si>
    <t>Durchführung der Vollwartung. In der Regel nach ca. 4 und nach ca. 6 Jahren.</t>
  </si>
  <si>
    <t>Für alle Bereiche erfolgte die Dokumentation und Archivierung der Datenherkunft. Die Nachweise dazu sind bei Bedarf bei der VR AgrarBeratung AG einsehbar.</t>
  </si>
  <si>
    <t xml:space="preserve">Die Deckungsbeiträge wurden aktualisiert. Insbesondere konnten wir endlich auf tatsächlich erzielte Zahlen im Bereich der Enten- und Gänsemast zurückgreifen, so dass </t>
  </si>
  <si>
    <t xml:space="preserve">Im Arbeitsblatt Stammdaten 2 erfolgt im Bereich Luftfiltererlass die Berechnung der prozentualen Auslastung der Schwellenwerte. Wird in der Summe 100 % und mehr   </t>
  </si>
  <si>
    <t>erreicht, ist ebenfalls zu prüfen. Für nicht aufgeführte Verfahren bitte die Schwellenwerte eintragen!</t>
  </si>
  <si>
    <t xml:space="preserve">auch für die Vorjahre Korrekturen erfolgten. Zusätzlich fand nochmals eine Abstimmung der Baukosten statt. Insbesondere im Bereich der Legehennen mussten wir zum  </t>
  </si>
  <si>
    <t>wiederholten Male feststellen, dass die Daten des KTBL nicht den tatsächlichen Gegebenheiten entsprechen. Wir haben uns hier an eigene und uns vorliegende Daten</t>
  </si>
  <si>
    <t>Diese Hinweise finden Sie über den Onlinezugang unserer Homepage für die Gutachter.</t>
  </si>
  <si>
    <t>orientiert. Die Standardbaukosten auf Grundlage von jetzt 64 durchgeführten Wertermittlungen Biogas wurden aktualisiert. Im Bereich Windkraft und PV erfolgte ebenfalls</t>
  </si>
  <si>
    <t>eine Anpassung auf aktuelle Werte. Im Bereich erneuerbare Energien sind jedoch immer Kalkulationen pro Anlage notwendig.</t>
  </si>
  <si>
    <t xml:space="preserve">Die Daten aus dem Datenblatt finden Sie je Update zusätzlich im Login Bereich für Gutachter unserer Homepage. </t>
  </si>
  <si>
    <t xml:space="preserve">Im Ergebnisblatt und im Beschluss werden nunmehr die Summen der Ertragswerte, Sachwerte und die Summe der Niedrigwerte ausgewiesen. </t>
  </si>
  <si>
    <t xml:space="preserve">erfolgter Vollwartung, welche die Lebensdauer des BHKW um weitere 2 Jahre verlängert, programmtechnisch zu erfassen. Die Lebensdauer der BHKW wird dann </t>
  </si>
  <si>
    <t>Erfahrungswerte VR AgrarBeratung AG 64 Anl.</t>
  </si>
  <si>
    <t>Stöppelmann, Korves</t>
  </si>
  <si>
    <t>Baukostensteigerung seit 2006 mit 10% anges.</t>
  </si>
  <si>
    <t xml:space="preserve">Flugentenmast erfolgte eine Berichtigung der Wert. Der Deckungsbeitrag Pekingentenmmast konnte aufgrund neuester Ergebnisse aktualisiert werden. </t>
  </si>
  <si>
    <t>Raiffeisen Ems-Vechte 2016</t>
  </si>
  <si>
    <t>Baukosten Flüssigmistbehälter ab 1500 m³ Inhalt</t>
  </si>
  <si>
    <t xml:space="preserve">Bei der Wertermittlung von Gülleanlagen fällt die Verzinsung von Substratkosten weg. Dies sollte im Menü "Biogasanlage" im Feld "Verzinsung Substratkosten" mit einer 0 </t>
  </si>
  <si>
    <t>angegeben werden. An dieser Stelle weist ein neuer Kommentar Sie darauf hin.</t>
  </si>
  <si>
    <t>Daher empfehlen wir ausdrücklich, dass Sie sich an der Checkliste orientieren und ggf. Nachweise von Ihrem Kunden einfordern.</t>
  </si>
  <si>
    <t>in der Anpassung der Baukosten gemäß KTBL "Betriebsplanung Landwirtschaft 2016/2017" und der Berücksichtigung des EEG 2017.</t>
  </si>
  <si>
    <t>Insgesamt sind die Baukosten der einzelnen Produktionsrichtungen seit der letzten KTBL Ausgabe "Betriebsplanung Landwirtschaft 2014/2015" angestiegen.</t>
  </si>
  <si>
    <t>Das betrifft auch den Investitionsbedarf für Fahrsiloanlagen.</t>
  </si>
  <si>
    <t xml:space="preserve">In diesem Jahr unterlag unser Programm zur Erstellung von Gutachten über den Beleihungswert der "Prüfung von Softwareprodukten“, der NWPG Treuhand GmbH, Oldenburg,  </t>
  </si>
  <si>
    <t>nach Maßgabe des Prüfungsstandes IDW PS 880. Unter Berücksichtigung der Kritikpunkte aus dem Prüfbericht wurden weitere Zellen geschützt und bei der Eingabe von</t>
  </si>
  <si>
    <t>Negativwerten wurde eine Fehlermeldung programmiert. Den ansonsten positiv gestimmten Prüfbericht können Sie auf unserer Homepage einsehen.</t>
  </si>
  <si>
    <t xml:space="preserve">Die Verzinsung "Kaufpreis Milchquote" ist nicht mehr relevant und taucht daher nicht mehr in der Berechnung auf. </t>
  </si>
  <si>
    <t xml:space="preserve">Korves, Franziska </t>
  </si>
  <si>
    <t>Stöppelmann, Stephan</t>
  </si>
  <si>
    <t xml:space="preserve">Die Deckungsbeiträge wurden auf den Stand 2016 aktualisiert. Grundlage dafür bilden die Richtwertdeckungsbeiträge der Landwirtschaftskammer Niedersachsen, die </t>
  </si>
  <si>
    <t>Datei: Wertermittlung Landwirtschaft 3.5.</t>
  </si>
  <si>
    <t>Die Vergütungssätze im Bereich Windkraft wurden kaufmännisch auf zwei Nachkommastellen gerundet. Im Bereich der Bodenbewertung wurde ein Zeilenumbruch eingefügt,</t>
  </si>
  <si>
    <t xml:space="preserve">um auch längere Bodenbezeichnungen einzutragen. </t>
  </si>
  <si>
    <t>in der maximalen Auslastung des theoretisch vorhandenen Lagervolumens. Bei Speisekartoffeln sind es 70%, bei Industriekartoffeln 80%. Eine Anpassung der Baukosten</t>
  </si>
  <si>
    <t>Das EEG 2017, welches am 01.01.2017 in Kraft tritt, wird in der Kalkulationsmaske "EEG 2012, 2014 und 2017" berücksichtigt. Im Zuge des EEG 2017 wird die</t>
  </si>
  <si>
    <t xml:space="preserve">Vergütungshöhe für Neuanlagen nicht wie bisher staatlich festgelegt, sondern durch Ausschreibungen am Markt ermittelt. Betroffen sind Neuanlagen  ≥ 150 KW installierter </t>
  </si>
  <si>
    <t>Leistung. Ausgenommen sind hingegen Gülleanlagen ≤75 KW. Biogasanlagen die vor dem 01.01.2017 genehmigt und vor dem 01.01.2019 in Betrieb genommen wurden,</t>
  </si>
  <si>
    <t>fallen unter die Sonderregelungen für Bestandsanlagen. Für diese Anlagen gelten die gesetzlich festgelegten Vergütungssätze, welche mit diesem Update berücksichtigt</t>
  </si>
  <si>
    <t>wurden.</t>
  </si>
  <si>
    <t>Update 3.4.7 per Dezember 2015:</t>
  </si>
  <si>
    <t>kann geprüft werden, ob überhaupt die Umsetzung dieses Erlasses durch die Genehmigungsbehörde für die zu bewertende Einheit bereits in Form einer Aufforderung</t>
  </si>
  <si>
    <t>terminliche Abfolge gemäß der Checkliste. Solange keine Aufforderung vorliegt und bei Stalleinheiten, deren Genehmigung bereits den Filtererlass berücksichtigt und</t>
  </si>
  <si>
    <t>Des Weiteren liegen jetzt qualitätsgesicherte Angaben bezüglich der Verlustabzüge (z.B. technische Verluste, Verluste durch Abschaltung, Alter …) vor. Die BVR</t>
  </si>
  <si>
    <t>Update 3.4.8 per Mai 2016:</t>
  </si>
  <si>
    <t>Update 3.4.9 per Dezember 2016:</t>
  </si>
  <si>
    <t>Mit dem Update 3.4.9 wurden die Anforderungen an die Wertermittlung an den aktuellen Stand für das Bewertungsjahr 2017 angepasst. Hauptaugenmerk lag dabei</t>
  </si>
  <si>
    <t>Update 3.5 per Mai 2017:</t>
  </si>
  <si>
    <t>Für die Bewertung einer Kartoffellagerhalle ist jetzt auch eine Unterscheidung zwischen Speisekartoffeln und Industriekartoffeln möglich. Der Wesentliche Unterschied liegt</t>
  </si>
  <si>
    <t xml:space="preserve">Kartoffellagerhalle mit Lüftung </t>
  </si>
  <si>
    <t>beiträge im Bereich Milchviehhaltung deutlich geringer aus. Außerdem wurden die Bewirtschaftungs- und Versicherungskosten nach Maßgabe des KTBL angepasst.</t>
  </si>
  <si>
    <t>können Sie weiterhin unter Stammdaten 2 vornehmen.</t>
  </si>
  <si>
    <t>jedoch den einmaligen Hinweis auf die "Checkliste Filtererlass". Eine Warnung weist Sie bei einer Änderung darauf hin.</t>
  </si>
  <si>
    <t>Erfahrungswerte der VR AgrarBeratung AG und Angaben durch den Beratungsring Grafschaft Bentheim e.V.. Im Zuge der Milchpreiskrise fallen vor allem die Deckungs-</t>
  </si>
  <si>
    <t>Da derzeit noch nicht in jedem Bundesland der Luftfiltererlass gilt, haben Sie die Möglichkeit, das Kontrollkästchen "Analyse notwendig" zu überschreiben. Damit verlassen Sie</t>
  </si>
  <si>
    <t>Entenmast, Flugenten (50% Erpel/ Enten) Langmast</t>
  </si>
  <si>
    <t>Tretmiststall, betonierte Lauffläche, Fischgrätenmelkstand</t>
  </si>
  <si>
    <t>die Leistungen, Bedarf an Grundfutter, Arbeitszeiten pro Einheit, Dunganfall und Kosten der Dungverwertung wurden an aktuellen Werte angepasst.</t>
  </si>
  <si>
    <t xml:space="preserve">genau auf die sorgfältige Einhaltung der Vorgaben und die Pflege der Checkliste geachtet werden.  </t>
  </si>
  <si>
    <t xml:space="preserve">Die Eingabe der Investitionskosten für die Abluftreinigungsanlage wurde noch nicht geschaffen, es gibt noch dazu keine Standardbaukosten. </t>
  </si>
  <si>
    <t>Die Bewertung erfolgt auf Grundlage der Lagerstättenverordnung zu Standardbaukosten. Es muss jedoch eine Auswahl im Produktionsverfahren zwischen</t>
  </si>
  <si>
    <t xml:space="preserve">Für die Bewertung von Erneuerbaren Energien wurde die Checkliste EEG aktualisiert. Diese sollte in jedem Fall ausgefüllt und als Nachweis der Wertermittlung beigefügt </t>
  </si>
  <si>
    <t xml:space="preserve">werden. Folgende Punkte wurden in der Checkliste ergänzt: * Genehmigungen oder Zulassungen, die nach dem 28.02.2015 erteilt worden sind, verringert sich der </t>
  </si>
  <si>
    <t>Zahlungsanspruch gegebenenfalls auf null.  *Aufgrund des neu in Kraft getretenen Strommarkt-Gesetzes ergibt sich eine rückwirkende Änderung im EEG ab dem 1. Januar</t>
  </si>
  <si>
    <t xml:space="preserve">2016. Entsprechend ist eine Kombination zwischen dem Erhalt der Einspeisevergütung / Marktprämie und der Stromsteuerbefreiung nach § 9 Abs. 1 Nummer 1 oder 3 </t>
  </si>
  <si>
    <t>Stromsteuergesetz nicht zulässig (Doppelförderungsverbot). Dieser Sachverhalt führt zu einem Verlust des Vergütungsanspruchs gemäß EEG.</t>
  </si>
  <si>
    <t xml:space="preserve">Wir legen großen Wert darauf, Ihren Anforderungen gerecht zu werden. Für den Bereich Bodenbewertung haben wir deshalb zum Einen neue Spalten für die unterschiedlichen </t>
  </si>
  <si>
    <t>Bodenrichtwerte eingepflegt und zum Anderen in einem neuen Blatt Platz für weitere Zellen geschaffen, um noch weitere Flurstücke zu berücksichtigen.</t>
  </si>
  <si>
    <t>Update 4.0 per Dezember 2018:</t>
  </si>
  <si>
    <t>Im Zuge des Updates 4.0 ist es jetzt möglich, neben dem Beleihungswert, auch einen Verkehrswert auszuweisen. Dabei haben wir uns sehr stark an der ImmoWertV</t>
  </si>
  <si>
    <t xml:space="preserve">orientiert. Zusätzlich wurde die Beleihungswertermittlung nach den Vorgaben der BelWertV angepasst. Wesentliche Änderungen im Ertragswertverfahren ergeben sich </t>
  </si>
  <si>
    <t xml:space="preserve">aus der Tatsache, dass im Verkehrswertverfahren die Bodenwertverzinsung und der Bodenwertanteil berücksichtigt werden. Für die Beleihungswertermittlung ist dies </t>
  </si>
  <si>
    <t>nach §13 für Gebäude mit einer Restnutzungsdauer &lt;30 Jahren nicht zulässig. Der Risikoabschlag, der zuvor in der Ergebniszusammenfassung in Abzug gebracht wurde,</t>
  </si>
  <si>
    <t>wird im neuen Update nur auf den Sachwert bezogen.</t>
  </si>
  <si>
    <t>Für die Bewertung unbebauter Grundstücke stehen im Reiter "Stammdaten1" Empfehlungen der HypZert zur Verfügung, um eine Marktanpassung der Bodenrichtwerte</t>
  </si>
  <si>
    <t xml:space="preserve">vorzunehmen. </t>
  </si>
  <si>
    <t xml:space="preserve">* Im Bereich Windkraft bezieht sich die Berechnung der Durchschnittsvergütung auf die Nutzungsdauer. Diese kann in Stammdaten 1 angepasst werden. </t>
  </si>
  <si>
    <t>* Die Vergütungssätze für die Erneuerbaren Energien Anlagen wurden kontrolliert und weitergeführt.</t>
  </si>
  <si>
    <t>* Um die Möglichkeiten durch das Reserveblatt besser nutzen zu können, wurden sämtliche Zellen zur Änderung freigegeben.</t>
  </si>
  <si>
    <t>* Das Layout in der Berechnungsdatei wurde verändert.</t>
  </si>
  <si>
    <t>Update 4.1 per Mai 2018</t>
  </si>
  <si>
    <t xml:space="preserve">Mit dem Update 4.1 wurden die Deckungsbeiträge um das Jahr 2017 erweitert und aktualisiert. Ein Großteil der Daten basiert auf den Auswertungen der Landwirtschaftskammer </t>
  </si>
  <si>
    <t xml:space="preserve">pauschalierenden Landwirt auf Brutto-Werten, die eines gewerblich genutzten Objekts auf Netto-Werten. Sie haben mit dem neuen Update die Möglichkeit, in den </t>
  </si>
  <si>
    <t xml:space="preserve">Stammdaten 1 einzustellen, ob die Werte, für die landwirtschaftlichen Produktionsrichtungen auf einer Brutto-/ oder Nettokalkulation basieren. Die Voreinstellung unterstellt einen </t>
  </si>
  <si>
    <t>GJ/ME/ha</t>
  </si>
  <si>
    <t>Angaben der Dungentsorgungsunternehmen in 2018, AVD Lingen Herr Brinker</t>
  </si>
  <si>
    <t>aktuelle Gesetzeslage</t>
  </si>
  <si>
    <t>KTBL Datensammlung 2018/2019, Seite 732, Ecklohn Lohngruppe 4 mit AG-Anteile</t>
  </si>
  <si>
    <t xml:space="preserve">KTBL Datensammlung 2018/2019, Seite 71 </t>
  </si>
  <si>
    <t>Quelle: KTBL-Datensammlung 2017/2018 S.523</t>
  </si>
  <si>
    <t>Quelle: KTBL-Datensammlung 2018/2019 S. 563</t>
  </si>
  <si>
    <t>Quelle: KTBL-Datensammlung 2018/2019 S. 610</t>
  </si>
  <si>
    <t>Quelle: KTBL-Datensammlung 2018/2019 S. 585</t>
  </si>
  <si>
    <t>Quelle: KTBL-Datensammlung 2018/2019 S. 587</t>
  </si>
  <si>
    <t>Update 4.2 per Dezember 2018</t>
  </si>
  <si>
    <t>Landwirtschaftskammer Niedersachsen</t>
  </si>
  <si>
    <t>Die von uns zugrunde gelegten Annahmen sind mit den Erfahrungswerten aus unserer Beratungstätigkeit plausibilisiert.</t>
  </si>
  <si>
    <t>Mit dem Update 4.2 wurden die Baukosten auf Grundlage der KTBL Datensammlung Betriebsplanung Landwirtschaft 2018/19 angepasst. Erstmalig wurden die Baukosten zum Teil</t>
  </si>
  <si>
    <t xml:space="preserve">aus der KTBL Online Anwendung "Baukost- Investition Betriebsgebäude" entnommen. Insbesondere im Rinderbereich haben wir Differenzen von bis zu 15 % festgestellt. </t>
  </si>
  <si>
    <t xml:space="preserve">Zusätzlich wurden die Annahmen Dunganfall, Flächenbedarf, Arbeitsaufwand und der Investitionsbedarf für Grundfutterlagerstätten überprüft und bedarfsweise angepasst. </t>
  </si>
  <si>
    <t>Vor dem Hintergrund der Novellierung der Düngeverordnung stehen die Preise für die Dungentsorgung zunehmend unter Druck. Insbesondere in veredlungsstarken Regionen</t>
  </si>
  <si>
    <t>werden Preise gehandelt, die zu einem negativen Reinertrag führen. Sie können die Kosten der Dungentsorgung in den Stammdaten 1 anpassen. Anzusetzen ist ein durchschnittlicher</t>
  </si>
  <si>
    <t>Preis, der für einen ausreichend langen Zeitraum anzunehmen ist. Extreme Preissteigerungen innerhalb eines Jahres oder Sondereffekte sollten nicht zugrunde gelegt werden.</t>
  </si>
  <si>
    <t>Online-Anwendung des KTBLs entnommen.</t>
  </si>
  <si>
    <t>Niedersachsen. Die Ausführungen wurden mit Auswertungen der VR AgrarBeratung AG auf Plausibilität geprüft. Die Deckungsbeiträge für die Legehennenhaltung wurden aus der</t>
  </si>
  <si>
    <t xml:space="preserve">NEU! Vor dem Hintergrund, dass eine Bewertung immer in dem Umfeld durchgeführt werden muss, in dem sich das zu bewertende Objekt befindet, basiert die Bewertung für einen </t>
  </si>
  <si>
    <t xml:space="preserve">Mit dem Update 4.3 wurden die Deckungsbeiträge um das Jahr 2018 erweitert und aktualisiert. Ein Großteil der Daten basiert auf den Auswertungen der Landwirtschaftskammer </t>
  </si>
  <si>
    <t>Update 4.3 per Mai 2019</t>
  </si>
  <si>
    <t>dem Feld „D9“ eine 1 ein.</t>
  </si>
  <si>
    <t>pauschalierenden Landwirt und damit die Brutto-Kalkulation. Falls Sie eine Berechnung auf Basis von Netto-Werten vornehmen möchten, tragen Sie bitte in den Stammdaten 1 in</t>
  </si>
  <si>
    <t>der Restnutzungsdauer, differenzierte Festlegung der Beleihungsgrenze für Wirtschaftsgebäude und der Ausweis des Realkredites. Detaillierte Informationen zu den Neuerungen finden</t>
  </si>
  <si>
    <t>Sie in den Nutzerhinweisen. Diese können Sie sich im Login Bereich unserer Homepage herunterladen.</t>
  </si>
  <si>
    <t>Folgende Änderungen wurden in der Berechnungsdatei vorgenommen: Möglichkeit zur Dokumentation der Ortsbesichtigung im Reiter "Beschluss", Möglichkeit zur flexiblen Anpassung</t>
  </si>
  <si>
    <t>Die Deckungsbeiträge im Legehennenbereich wurden im Datenblatt auf die Einheit "€/Henne" geändert. Zuvor war der Wert in "€/Jahr" angegeben. In der Berechnungsdatei wird</t>
  </si>
  <si>
    <t xml:space="preserve">der Reinertrag durch einen Faktor (entsprechend der Durchgänge) in der Einheit "€/Jahr" angegeben. </t>
  </si>
  <si>
    <t xml:space="preserve">Niedersachsen. Die Ausführungen wurden mit den Auswertungen der VR AgrarBeratung AG auf Plausibilität geprüft. Die Deckungsbeiträge für die Legehennenhaltung wurden aus </t>
  </si>
  <si>
    <t>der Online-Anwendung des KTBLs entnommen.</t>
  </si>
  <si>
    <t>Boxenlaufstall, Fischgrät- und weitere Melktechniken</t>
  </si>
  <si>
    <t>Legehennenstall, Boden- u. Volierenhaltung</t>
  </si>
  <si>
    <t>Update 4.4 per Dezember 2019</t>
  </si>
  <si>
    <t>Zudem haben wir Anregungen aus dem Nutzerkreis im Programm umgesetzt. Sie haben die Möglichkeit Verbesserungsvorschläge bei Frau Korves zu melden. Diese werden dann in</t>
  </si>
  <si>
    <t>den Updates berücksichtigt.</t>
  </si>
  <si>
    <t>Durch die ständig steigenden Anforderungen an Sie als Gutachter, steigt auch der Dokumentationsaufwand. Daher haben wir im Programm weitere Zellen für Bemerkungen freigegeben.</t>
  </si>
  <si>
    <t>Mit dem Update 4.0 hatten Sie erstmals die Möglichkeit einen Verkehrswert zu berechnen. Die Unterscheidung von Beleihungswert und Verkehrswert fehlte bisher jedoch im Hinblick</t>
  </si>
  <si>
    <t>Mit dem Update 4.4 wurden die Inhalte des Beleihungswertprogramms, insbesondere der Datensammlung überprüft. Die Deckungsbeiträge wurden auf Plausibilität geprüft. Dabei ergaben</t>
  </si>
  <si>
    <t xml:space="preserve">In einer separaten Liste, die Sie sich im Login Bereich auf unserer Homepage hochladen können, stellen wir Ihnen Textbausteine zur Verfügung. </t>
  </si>
  <si>
    <t>auf die Bodenbewertung. Dies ist mit dem Update 4.4 nun möglich. Hinweise zur Vorgehensweise finden Sie in den Nutzerhinweisen im Downloadbereich.</t>
  </si>
  <si>
    <t xml:space="preserve">sich speziell in der Geflügelhaltung Anpassungen. Die durchschnittlichen Deckungsbeiträge in der Hähnchenmast sind um 12 % gestiegen. </t>
  </si>
  <si>
    <t>Update 4.5 per Mai 2020</t>
  </si>
  <si>
    <t xml:space="preserve">Mit dem Update 4.5 wurden die Inhalte des Beleihungswertprogramms auf den Prüfstand gestellt. Die Deckungsbeiträge wurden um das Jahr 2019 vervollständigt. Im Vergleich </t>
  </si>
  <si>
    <t>Weitere Anpassungen betreffen die Berechnungsdatei. Im Reiter "Wohngebäudebewertung" stellen wir Ihnen ab jetzt Richtwerte für die Sachwertberechnung auf Grundlage der Brutto Grundfläche</t>
  </si>
  <si>
    <t xml:space="preserve">zur Verfügung. </t>
  </si>
  <si>
    <t>Eine weitere Aktualisierung betrifft die Fortschreibung der Vergütungssätze für Erneuerbare Energien Anlagen.</t>
  </si>
  <si>
    <t xml:space="preserve">zum Vorjahresdurchschnitt fällt auf, dass sich der Bereich Rindviehhaltung positiv entwickelt hat, was durch den Wegfall des schwachen Jahres 2009 zu erklären ist. Die Bereiche Schwein  </t>
  </si>
  <si>
    <t>und Geflügel weisen aufgrund ihrer negativen Entwicklung im Jahr 2019 einen geringeren Durchschnittsdeckungsbeitrag aus.</t>
  </si>
  <si>
    <t>KTBL Datensammelung 2020/2021, Seiten 533 bis 548</t>
  </si>
  <si>
    <t>Richtwert DB 2019 Seite 102, AK/h</t>
  </si>
  <si>
    <t>Richtwert DB 2019 Seite 101</t>
  </si>
  <si>
    <t>KTBL Datensammelung 2020/2021, Seiten 568 bis 593</t>
  </si>
  <si>
    <t>KTBL Datensammelung 2020/2021, Seiten 549 bis 567</t>
  </si>
  <si>
    <t>Richtwert DB 2019 Seite 102, GF</t>
  </si>
  <si>
    <t>Richtwert DB 2019 Seite 101, GF</t>
  </si>
  <si>
    <t>KTBL Datensammelung 2020/2021, Seiten 594 bis 618</t>
  </si>
  <si>
    <t>Richtwert DB 2019 Seite 100 AK/h, GF</t>
  </si>
  <si>
    <t>KTBL Datensammelung 2020/2021, Seiten 637 bis 648</t>
  </si>
  <si>
    <t>KTBL Datensammelung 2020/2021, Seiten 619 bis 636</t>
  </si>
  <si>
    <t>KTBL Datensammelung 2020/2021, Seiten 649 bis 662</t>
  </si>
  <si>
    <t>KTBL Datensammelung 2020/2021, Seiten 682 bis 697</t>
  </si>
  <si>
    <t>KTBL Datensammelung 2020/2021, Seiten 698 bis 718</t>
  </si>
  <si>
    <t>KTBL Datensammelung 2020/2021, Seiten 150</t>
  </si>
  <si>
    <t>KTBL Datensammelung 2020/2021, Seiten 146, 147, 153</t>
  </si>
  <si>
    <t>KTBL Datensammelung 2020/2021, Seite 152</t>
  </si>
  <si>
    <t>Energieproduktion pro ha intensives Grünland 40 t/ha</t>
  </si>
  <si>
    <t>KTBL Datensammelung 2020/2021, Seite 321</t>
  </si>
  <si>
    <t>KTBL Datensammelung 2020/2021, Seite 432</t>
  </si>
  <si>
    <t>KTBL Datensammelung 2020/2021, Seite 151</t>
  </si>
  <si>
    <t>KTBL Datensammelung 2020/2021, Seite 70, Unterhaltung kurz- und mittelfristige Bauteile im Deckungsbeitrag enthalten</t>
  </si>
  <si>
    <t>Sonstiges</t>
  </si>
  <si>
    <t>-</t>
  </si>
  <si>
    <t>Quelle: KTBL-Datensammlung 2020/2021  S. 151</t>
  </si>
  <si>
    <t>Quelle: KTBL-Datensammlung 2020/2021 S. 321</t>
  </si>
  <si>
    <t>Quelle: KTBL-Datensammlung 2020/2021 S. 432</t>
  </si>
  <si>
    <t>Diekmann, Anne</t>
  </si>
  <si>
    <t>aus der KTBL Online Anwendung "Baukost- Investition Betriebsgebäude" entnommen. Über alle Produktionsrichtungen ergibt sich eine Baukostensteigerung von rund 20 %.</t>
  </si>
  <si>
    <t>Die stärksten Kostensteigerungen fallen mit einem Aufschlag von rund 40 % bei dem Bau eines Legehennenstalls aus.</t>
  </si>
  <si>
    <t>Update 4.6 per Dezember 2020</t>
  </si>
  <si>
    <t>Mit dem Update 4.6 wurden die Baukosten auf Grundlage der KTBL Datensammlung Betriebsplanung Landwirtschaft 2020/21 angepasst. Zudem wurden die Baukosten zum Teil</t>
  </si>
  <si>
    <t>Beleihungswertermittlungsverordnung</t>
  </si>
  <si>
    <t>Update 4.7 per Juni 2021</t>
  </si>
  <si>
    <t>Mit dem Update 4.7 wurden die Deckungsbeiträge um das Jahr 2020 erweitert und aktualisiert. Ein Großteil der Daten basiert auf den Deckungsbeiträgen der Landwirtschaftskammer</t>
  </si>
  <si>
    <t>Niedersachsen. Die Ausführungen wurden mit Auswertungen der VR AgrarBeratung AG auf Plausibilität geprüft. Im Bereich der Schweinehaltung wurden die Deckungsbeiträge daraufhin</t>
  </si>
  <si>
    <t xml:space="preserve">nach unten angepasst. Der Deckungsbeitrag in der Putenmast wurde auf Grund von Erfahrungswerten der VR AgrarBeratung AG für die Jahre 2011 bis 2020 angepasst, da sich heraus gestellt </t>
  </si>
  <si>
    <t>wird weiterhin als vorsichtig nachhaltig angesehen und sollte auch vom unteren Drittel der Vergleichsbetriebe mindestens erreicht werden können.</t>
  </si>
  <si>
    <t>hat, dass der durchschnittliche Deckungsbeitrag zu gering ausgefallen ist. Insbesondere die Positionen der variablen Kosten wurde angepasst. Der sich daraus ergebene Deckungsbeitrag</t>
  </si>
  <si>
    <t>Baupreisindex</t>
  </si>
  <si>
    <t>Korrektur Baunebenkosten</t>
  </si>
  <si>
    <t>Faktor</t>
  </si>
  <si>
    <t>KTBL Online Baukost-Investition Betriebsgebäude 11-2020</t>
  </si>
  <si>
    <t>Update 4.8 per Dezember 2021</t>
  </si>
  <si>
    <t xml:space="preserve">Die Kostenannahmen für die langfristigen Bauteile sind somit gestiegen, im Datenblatt jedoch leicht geringer als in der Version 4.7, auf Grund der Verrechnung der Baunebenkosten und </t>
  </si>
  <si>
    <t>der Außenanlagen. Die Kostenannahmen für die mittelfristigen und kurzfristigen Bauteile sind deutlich geringer als in der Vorversion auf Grund der Verrechnung.</t>
  </si>
  <si>
    <t xml:space="preserve">Mit dem Update 4.8 wurden die Baukosten um die Kostenpunkte Außenanlagen und Baunebenkosten bereinigt. Der Zuschlag dieser Kosten erfolgt ab dem Update 4.8 direkt im </t>
  </si>
  <si>
    <t xml:space="preserve">Kalkulationsblatt. Zudem wurden die langfristigen Baukosten auf Grundlage des KTBL´s um eine Baupreissteigerung in Höhe des Faktors 1,15 angepasst.  </t>
  </si>
  <si>
    <t>Update 4.9 per April 2022</t>
  </si>
  <si>
    <t>Mit dem Update 4.9 wurden die Deckungsbeiträge um das Jahr 2021 erweitert und aktualisiert. Ein Großteil der Daten basiert auf den Deckungsbeiträgen der Landwirtschaftskammer</t>
  </si>
  <si>
    <t xml:space="preserve">Niedersachsen. Die Ausführungen wurden mit Auswertungen der VR AgrarBeratung AG auf Plausibilität geprüft. Im Bereich der Geflügelhaltung wurden die Deckungsbeiträge aus den </t>
  </si>
  <si>
    <t xml:space="preserve">Datensammlungen der VR AgrarBeratung AG abgeleitet. Die Entwicklung der Deckungsbeiträge zeigt, dass insbesondere in den Hauptproduktionsrichtungen schwache Deckungsbeiträge im </t>
  </si>
  <si>
    <t>Der Deckungsbeitrag für die Jungviehaufzucht wurde auf einen Mischdeckungsbeitrag zwischen Grünlandhaltung und Stallhaltung (Ackerland) abgeändert.</t>
  </si>
  <si>
    <t>Mit dem Update 4.9 wurde die Umsatzsteuerverrechnung für pauschalierende Landwirte auf 9,5 % angepasst. Die Umsatzsteuerverrechnungssätze wurden entsprechend geändert.</t>
  </si>
  <si>
    <t>Grundfutter-</t>
  </si>
  <si>
    <t xml:space="preserve">anteil </t>
  </si>
  <si>
    <t>Ackerland</t>
  </si>
  <si>
    <t>Grünland</t>
  </si>
  <si>
    <t xml:space="preserve"> Stallplatz</t>
  </si>
  <si>
    <t>Baukostenermittlung pro Stallplatz</t>
  </si>
  <si>
    <t>NEL(MJ/Jahr)</t>
  </si>
  <si>
    <t xml:space="preserve">sowie für die Entsorgung von Geflügelmist 3 € anstatt 6 € angesetzt. Diese Anpassung begründet sich in der Düngerpreisentwicklung. </t>
  </si>
  <si>
    <t xml:space="preserve">Für die Berücksichtigung der Flächenkosten wurde die Unterscheidung zwischen Acker- und Grünland für den Pachtansatz hinzugefügt. </t>
  </si>
  <si>
    <t>Im Datenblatt wird eine Verteilung des Grundfutterbedarfs aus Grünland und aus Ackerland hinterlegt. In der Berechnung werden die Flächenkosten nach den Verhältnissen aufgeteilt.</t>
  </si>
  <si>
    <t>Im Programm besteht die Möglichkeit den Pachtansatz für Grünland und für Ackerland anzupassen.</t>
  </si>
  <si>
    <t xml:space="preserve">Jahr 2021 erwirtschaftet wurden. Die Deckungsbeiträge im Bereich der Schweine- und Sauenhaltung sind massiv abgesunken. Die Auswirkungen der Corona-Pandemie spiegeln </t>
  </si>
  <si>
    <t xml:space="preserve">die Entwicklung der Deckungsbeiträge wieder. Mit dem Update 4.9 wurden die Dungentsorgungskosten für die Schweinegülle von 8 € auf 5 € abgesenkt, </t>
  </si>
  <si>
    <t>Vieh-
vermögen</t>
  </si>
  <si>
    <t>Dung-
anfall</t>
  </si>
  <si>
    <t>Dungent-
sorgung</t>
  </si>
  <si>
    <t xml:space="preserve">Grund-
futter </t>
  </si>
  <si>
    <t>Flächen-
bedarf</t>
  </si>
  <si>
    <t>Pacht-
ansatz</t>
  </si>
  <si>
    <t>Durch-
gänge</t>
  </si>
  <si>
    <t>Stall-
plätze/PE</t>
  </si>
  <si>
    <t>Warenwert
 pro t</t>
  </si>
  <si>
    <t>Warenwert
pro t</t>
  </si>
  <si>
    <t>Monate
 durchschn. Lagerdauer</t>
  </si>
  <si>
    <t>%   altersbed.
      Verlust</t>
  </si>
  <si>
    <t xml:space="preserve">Energiepr.pro ha intensive Silomaisprod. bei 50 t/ha </t>
  </si>
  <si>
    <t>Unterhaltung Gebäude v. Baukostenanteil:
 lang-, mittel-, kurzfristig</t>
  </si>
  <si>
    <t>Verwaltung und Versicherung Gebäude
 von den gesamten Baukosten</t>
  </si>
  <si>
    <t>Weitere Kennzahlen  in %,
  Durchschnittswerte Ratingtool parcIT 2015</t>
  </si>
  <si>
    <t>Änderungen zum
Vorjahresdurchschnitt</t>
  </si>
  <si>
    <t>Vorjahres-
durchschnitt</t>
  </si>
  <si>
    <t xml:space="preserve">DB pro
Einheit/PE in Euro </t>
  </si>
  <si>
    <t>Durchschnitt
 €</t>
  </si>
  <si>
    <t>Siloplatte mit Seitenwände --&gt; 3 Zellensystem
3 Kammern je</t>
  </si>
  <si>
    <t>Investition pro Milchkuh</t>
  </si>
  <si>
    <t>ohne
Silowände</t>
  </si>
  <si>
    <t>Anlagenkosten:
€ pro Stallplatz</t>
  </si>
  <si>
    <t>ohne 
Silowände</t>
  </si>
  <si>
    <t>Investiton pro Zuchtrind (Färse)</t>
  </si>
  <si>
    <t>Investition pro Mutterkuhhaltung</t>
  </si>
  <si>
    <t>Anlagenkosten pro</t>
  </si>
  <si>
    <t>ohne
 Silowände</t>
  </si>
  <si>
    <t>Investition pro Mastbulle ab Kalb</t>
  </si>
  <si>
    <t>Stallplatz/€</t>
  </si>
  <si>
    <t>Investition pro Mastbulle ab Fresser</t>
  </si>
  <si>
    <t>Anlagenkosten/</t>
  </si>
  <si>
    <t>Anlagenkosten/Tier</t>
  </si>
  <si>
    <t>pro Stallplatz/€</t>
  </si>
  <si>
    <t>Investition pro Aufzucht Fresser</t>
  </si>
  <si>
    <t>pro Stallplatz/€:</t>
  </si>
  <si>
    <t>Mitarbeiter 
VR AgrarBeratung AG</t>
  </si>
  <si>
    <t xml:space="preserve">Mitarbeiter
VR AgrarBeratung AG </t>
  </si>
  <si>
    <r>
      <t xml:space="preserve"> </t>
    </r>
    <r>
      <rPr>
        <b/>
        <sz val="15.5"/>
        <rFont val="Aeonik Light"/>
        <family val="3"/>
      </rPr>
      <t>↗</t>
    </r>
    <r>
      <rPr>
        <b/>
        <sz val="15.5"/>
        <rFont val="Arial"/>
        <family val="2"/>
      </rPr>
      <t xml:space="preserve"> Datei: Beleihungswert Landwirtschaft Datenblatt:</t>
    </r>
  </si>
  <si>
    <r>
      <rPr>
        <b/>
        <sz val="15.5"/>
        <rFont val="Aeonik Light"/>
        <family val="3"/>
      </rPr>
      <t>↗</t>
    </r>
    <r>
      <rPr>
        <b/>
        <sz val="15.5"/>
        <rFont val="Arial"/>
        <family val="2"/>
      </rPr>
      <t xml:space="preserve"> Datei: Wertermittlung Landwirtschaft 3.4.6:</t>
    </r>
  </si>
  <si>
    <r>
      <rPr>
        <b/>
        <sz val="15.5"/>
        <rFont val="Aeonik Light"/>
        <family val="3"/>
      </rPr>
      <t xml:space="preserve">↗ </t>
    </r>
    <r>
      <rPr>
        <b/>
        <sz val="15.5"/>
        <rFont val="Arial"/>
        <family val="2"/>
      </rPr>
      <t>Dateien: Beleihungswert Landwirtschaft Datenblatt und Wertermittlung Landwirtschaft 3.4.7</t>
    </r>
  </si>
  <si>
    <r>
      <rPr>
        <b/>
        <sz val="15.5"/>
        <rFont val="Aeonik Light"/>
        <family val="3"/>
      </rPr>
      <t xml:space="preserve">↗ </t>
    </r>
    <r>
      <rPr>
        <b/>
        <sz val="15.5"/>
        <rFont val="Arial"/>
        <family val="2"/>
      </rPr>
      <t>Datei: Beleihungswert Landwirtschaft Datenblatt</t>
    </r>
  </si>
  <si>
    <r>
      <rPr>
        <b/>
        <sz val="15.5"/>
        <rFont val="Aeonik Light"/>
        <family val="3"/>
      </rPr>
      <t xml:space="preserve">↗ </t>
    </r>
    <r>
      <rPr>
        <b/>
        <sz val="15.5"/>
        <rFont val="Arial"/>
        <family val="2"/>
      </rPr>
      <t>Datei: Wertermittlung Landwirtschaft 3.4.8</t>
    </r>
  </si>
  <si>
    <r>
      <rPr>
        <b/>
        <sz val="15.5"/>
        <rFont val="Aeonik Light"/>
        <family val="3"/>
      </rPr>
      <t>↗</t>
    </r>
    <r>
      <rPr>
        <b/>
        <sz val="15.5"/>
        <rFont val="Arial"/>
        <family val="2"/>
      </rPr>
      <t xml:space="preserve"> Korrekturen per 22.06.2016:</t>
    </r>
  </si>
  <si>
    <t>Dokumentation der Programmänderungen
und Erweiterungen ab Version 3.4.6, gültig ab Juli 2015</t>
  </si>
  <si>
    <t>Programm zur Ermittlung des Beleihungswertes
eines landwirtschaftlichen Betriebes</t>
  </si>
  <si>
    <t>Stammdaten</t>
  </si>
  <si>
    <t>Wartung und Instandhaltung
 Windkraftanlage in Euro pro kWh</t>
  </si>
  <si>
    <t>Update 5.0 per Dezember 2022</t>
  </si>
  <si>
    <t xml:space="preserve">In diesem Update wurde das Layout des Beleihungswertprogramms angepasst. Im Druckbereich wurde dazu ein neues Feld für das Aus- und Einblenden der Farbe hinterlegt. </t>
  </si>
  <si>
    <t xml:space="preserve">Bei Finalisierung der Wertermittlung kann am Ende die Farbe der Eingabefelder entfernt werden. Die Steuerung erfolgt mit Hilfe einer Drop-Down Liste. </t>
  </si>
  <si>
    <t>Zudem haben die Nutzer nun die Möglichkeit den Titel des Wertgutachtens im Ergebnis einzustellen. Zur Auswahl stehen dort die Felder "Beleihungswertgutachten", "Verkehrswertgutachten",</t>
  </si>
  <si>
    <t xml:space="preserve">"Vorläufiges Wertgutachten" und "Wertindikation". </t>
  </si>
  <si>
    <t xml:space="preserve">Zudem wurden mit diesem Update die Neuerung aus der BelwertV umgesetzt. Der Kapitalisierungszinssatz wurde weiterhin bei 7,5 % eingestellt. Die Nutzer haben die Möglichkeit diesen </t>
  </si>
  <si>
    <t>Mit dem Update 5.0 wurden die Baukostenansätze geprüft. Eine Anpassung hat nicht stattgefunden. Neue Baukosten werden im Herbstupdate 2023 eingepflegt.</t>
  </si>
  <si>
    <t xml:space="preserve">entsprechend der BelwertV anzupassen. Zudem wurde der Abzug der Instandhaltungskosten auf 0,8 % voreingestellt. Die Berechnung des Mindestbewirtschaftungskostenabzuges wurde </t>
  </si>
  <si>
    <t xml:space="preserve">entsprechend der BelwertV umgesetzt. </t>
  </si>
  <si>
    <t>Auf Grund der politischen Entwicklungen wurde die Steuerverrechnung grundsätzlich auf einen optierenden Betrieb eingestellt. Die Nutzer haben die Möglichkeit dieses anzupassen.</t>
  </si>
  <si>
    <t>Richtwert DB LWK Niedersachsen 2022, Seite 104, 9.000 kg</t>
  </si>
  <si>
    <t>Top agrar Heft 7/2021 S. 43</t>
  </si>
  <si>
    <t>Online Markttool VR AgrarBeratung AG 2022</t>
  </si>
  <si>
    <t>Richtwert DB LWK Niedersachsen 2022, Seite 106</t>
  </si>
  <si>
    <t>Onlinemarkttool VR AgrarBeratung AG 2022</t>
  </si>
  <si>
    <t>Richtwert DB LWK Niedersachsen 2022, Seite 103</t>
  </si>
  <si>
    <t>Richtwert DB LWK Niedersachsen 2022, Seite 110</t>
  </si>
  <si>
    <t>Richtwert DB LWK Niedersachsen 2022, Seite 109</t>
  </si>
  <si>
    <t>Onlinemarkttool VR AgrarBeratung AG  2022</t>
  </si>
  <si>
    <t>Richtwert DB LWK Niedersachsen 2022, Seite 114</t>
  </si>
  <si>
    <t>Angaben LWK Niedersachsen, Erfahrungswerte VR AgrarBeratung AG, 2014</t>
  </si>
  <si>
    <t>Update 5.1 per Mai 2023</t>
  </si>
  <si>
    <t xml:space="preserve">Mit dem Update 5.1 sind die Deckungsbeiträge um das Jahr 2022 ergänzt worden. Da wir weiterhin auf einen 10- Jahresdurchschnitt abstellen, fallen die Deckungsbeiträge aus dem Jahr </t>
  </si>
  <si>
    <t xml:space="preserve">2012 raus. </t>
  </si>
  <si>
    <t xml:space="preserve">Schweine: Starker Preisverfall im Jahr 2021/2022. Dadurch insgesamt ein Rückgang des Deckungsbeitrages. </t>
  </si>
  <si>
    <t xml:space="preserve">Geflügel: Aufgrund sehr hoher Getreidepreise ist der Deckungsbeitrag vergleichsweise schwach ausgefallen. </t>
  </si>
  <si>
    <t>Rind: Positive Entwicklung aufgrund überdurchschnittlicher Milchpreise.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</si>
</sst>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dd\.mm"/>
    <numFmt numFmtId="165" formatCode="#,##0.00_ ;[Red]\-#,##0.00\ "/>
    <numFmt numFmtId="166" formatCode="#,##0_ ;[Red]\-#,##0\ "/>
    <numFmt numFmtId="167" formatCode="#,##0.000_ ;[Red]\-#,##0.000\ "/>
    <numFmt numFmtId="168" formatCode="0.0000"/>
    <numFmt numFmtId="169" formatCode="dd/mm"/>
    <numFmt numFmtId="170" formatCode="#,##0.00000_ ;[Red]\-#,##0.00000\ "/>
    <numFmt numFmtId="171" formatCode="#,##0.0_ ;[Red]\-#,##0.0\ "/>
    <numFmt numFmtId="172" formatCode="0.00000"/>
    <numFmt numFmtId="173" formatCode="0.0%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FF0000"/>
      <name val="Arial"/>
      <family val="2"/>
    </font>
    <font>
      <b/>
      <sz val="24"/>
      <color rgb="FF717357"/>
      <name val="Arial"/>
      <family val="2"/>
    </font>
    <font>
      <sz val="24"/>
      <color rgb="FF71735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28"/>
      <color rgb="FF717357"/>
      <name val="Arial"/>
      <family val="2"/>
    </font>
    <font>
      <b/>
      <sz val="16"/>
      <color rgb="FF2F3030"/>
      <name val="Arial"/>
      <family val="2"/>
    </font>
    <font>
      <sz val="14"/>
      <color indexed="8"/>
      <name val="Arial"/>
      <family val="2"/>
    </font>
    <font>
      <b/>
      <sz val="12"/>
      <name val="Aeonik"/>
      <family val="3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2"/>
      <color theme="1"/>
      <name val="Arial"/>
      <family val="2"/>
    </font>
    <font>
      <sz val="18"/>
      <color rgb="FF717357"/>
      <name val="Arial"/>
      <family val="2"/>
    </font>
    <font>
      <sz val="11"/>
      <name val="Arial"/>
      <family val="2"/>
    </font>
    <font>
      <sz val="15.5"/>
      <name val="Arial"/>
      <family val="2"/>
    </font>
    <font>
      <b/>
      <sz val="15.5"/>
      <name val="Arial"/>
      <family val="2"/>
    </font>
    <font>
      <b/>
      <sz val="15.5"/>
      <name val="Aeonik Light"/>
      <family val="3"/>
    </font>
    <font>
      <b/>
      <sz val="15.5"/>
      <name val="Arial"/>
      <family val="3"/>
    </font>
    <font>
      <b/>
      <sz val="26"/>
      <color rgb="FF717357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CBC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2F3030"/>
      </bottom>
      <diagonal/>
    </border>
    <border>
      <left/>
      <right/>
      <top/>
      <bottom style="medium">
        <color rgb="FF717357"/>
      </bottom>
      <diagonal/>
    </border>
    <border>
      <left/>
      <right style="thin">
        <color rgb="FF717357"/>
      </right>
      <top/>
      <bottom/>
      <diagonal/>
    </border>
    <border>
      <left/>
      <right style="thin">
        <color rgb="FF717357"/>
      </right>
      <top/>
      <bottom style="medium">
        <color rgb="FF2F3030"/>
      </bottom>
      <diagonal/>
    </border>
    <border>
      <left/>
      <right style="thin">
        <color rgb="FF2F3030"/>
      </right>
      <top style="medium">
        <color rgb="FF717357"/>
      </top>
      <bottom/>
      <diagonal/>
    </border>
    <border>
      <left/>
      <right style="thin">
        <color rgb="FF2F3030"/>
      </right>
      <top style="medium">
        <color rgb="FF717357"/>
      </top>
      <bottom style="medium">
        <color rgb="FF2F3030"/>
      </bottom>
      <diagonal/>
    </border>
    <border>
      <left/>
      <right style="thin">
        <color rgb="FF2F3030"/>
      </right>
      <top/>
      <bottom/>
      <diagonal/>
    </border>
    <border>
      <left/>
      <right style="thin">
        <color rgb="FF2F3030"/>
      </right>
      <top/>
      <bottom style="medium">
        <color rgb="FF2F3030"/>
      </bottom>
      <diagonal/>
    </border>
    <border>
      <left style="thin">
        <color rgb="FF2F3030"/>
      </left>
      <right style="thin">
        <color rgb="FF2F3030"/>
      </right>
      <top style="medium">
        <color rgb="FF717357"/>
      </top>
      <bottom style="medium">
        <color rgb="FF2F3030"/>
      </bottom>
      <diagonal/>
    </border>
    <border>
      <left style="thin">
        <color rgb="FF2F3030"/>
      </left>
      <right style="thin">
        <color rgb="FF2F3030"/>
      </right>
      <top/>
      <bottom/>
      <diagonal/>
    </border>
    <border>
      <left style="thin">
        <color rgb="FF2F3030"/>
      </left>
      <right style="thin">
        <color rgb="FF2F3030"/>
      </right>
      <top/>
      <bottom style="medium">
        <color rgb="FF2F3030"/>
      </bottom>
      <diagonal/>
    </border>
    <border>
      <left/>
      <right/>
      <top/>
      <bottom style="thin">
        <color rgb="FF2F3030"/>
      </bottom>
      <diagonal/>
    </border>
    <border>
      <left/>
      <right style="thin">
        <color rgb="FF2F3030"/>
      </right>
      <top/>
      <bottom style="thin">
        <color rgb="FF2F3030"/>
      </bottom>
      <diagonal/>
    </border>
    <border>
      <left/>
      <right/>
      <top style="medium">
        <color rgb="FF2F3030"/>
      </top>
      <bottom style="medium">
        <color rgb="FF2F3030"/>
      </bottom>
      <diagonal/>
    </border>
    <border>
      <left style="medium">
        <color rgb="FF2F3030"/>
      </left>
      <right/>
      <top style="medium">
        <color rgb="FF2F3030"/>
      </top>
      <bottom/>
      <diagonal/>
    </border>
    <border>
      <left/>
      <right/>
      <top style="medium">
        <color rgb="FF2F3030"/>
      </top>
      <bottom/>
      <diagonal/>
    </border>
    <border>
      <left style="medium">
        <color rgb="FF2F3030"/>
      </left>
      <right/>
      <top/>
      <bottom/>
      <diagonal/>
    </border>
    <border>
      <left style="medium">
        <color rgb="FF2F3030"/>
      </left>
      <right/>
      <top/>
      <bottom style="medium">
        <color rgb="FF2F3030"/>
      </bottom>
      <diagonal/>
    </border>
    <border>
      <left style="thin">
        <color rgb="FF2F3030"/>
      </left>
      <right style="thin">
        <color rgb="FF2F3030"/>
      </right>
      <top/>
      <bottom style="thin">
        <color rgb="FF2F3030"/>
      </bottom>
      <diagonal/>
    </border>
    <border>
      <left style="thin">
        <color rgb="FF2F3030"/>
      </left>
      <right/>
      <top/>
      <bottom/>
      <diagonal/>
    </border>
    <border>
      <left style="thin">
        <color rgb="FF2F3030"/>
      </left>
      <right/>
      <top/>
      <bottom style="medium">
        <color rgb="FF2F3030"/>
      </bottom>
      <diagonal/>
    </border>
    <border>
      <left style="thin">
        <color rgb="FF2F3030"/>
      </left>
      <right/>
      <top/>
      <bottom style="thin">
        <color rgb="FF2F3030"/>
      </bottom>
      <diagonal/>
    </border>
    <border>
      <left style="medium">
        <color rgb="FF2F3030"/>
      </left>
      <right style="medium">
        <color rgb="FF2F3030"/>
      </right>
      <top/>
      <bottom/>
      <diagonal/>
    </border>
    <border>
      <left style="medium">
        <color rgb="FF2F3030"/>
      </left>
      <right style="medium">
        <color rgb="FF2F3030"/>
      </right>
      <top/>
      <bottom style="medium">
        <color rgb="FF2F3030"/>
      </bottom>
      <diagonal/>
    </border>
    <border>
      <left style="medium">
        <color rgb="FF2F3030"/>
      </left>
      <right style="medium">
        <color rgb="FF2F3030"/>
      </right>
      <top/>
      <bottom style="thin">
        <color rgb="FF2F3030"/>
      </bottom>
      <diagonal/>
    </border>
    <border>
      <left/>
      <right style="thin">
        <color rgb="FF717357"/>
      </right>
      <top/>
      <bottom style="thin">
        <color rgb="FF2F3030"/>
      </bottom>
      <diagonal/>
    </border>
    <border>
      <left/>
      <right style="medium">
        <color rgb="FFBFBCBC"/>
      </right>
      <top/>
      <bottom/>
      <diagonal/>
    </border>
    <border>
      <left/>
      <right style="thin">
        <color rgb="FF717357"/>
      </right>
      <top style="medium">
        <color rgb="FF2F3030"/>
      </top>
      <bottom/>
      <diagonal/>
    </border>
    <border>
      <left style="medium">
        <color rgb="FF2F3030"/>
      </left>
      <right style="medium">
        <color rgb="FF2F3030"/>
      </right>
      <top style="medium">
        <color rgb="FF2F3030"/>
      </top>
      <bottom/>
      <diagonal/>
    </border>
    <border>
      <left style="thin">
        <color indexed="64"/>
      </left>
      <right style="thin">
        <color rgb="FFBFBCBC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BFBCBC"/>
      </right>
      <top style="thin">
        <color indexed="64"/>
      </top>
      <bottom/>
      <diagonal/>
    </border>
    <border>
      <left style="thin">
        <color indexed="64"/>
      </left>
      <right style="thin">
        <color rgb="FFBFBCBC"/>
      </right>
      <top/>
      <bottom/>
      <diagonal/>
    </border>
    <border>
      <left style="thin">
        <color indexed="64"/>
      </left>
      <right style="thin">
        <color rgb="FFBFBCBC"/>
      </right>
      <top/>
      <bottom style="thin">
        <color indexed="64"/>
      </bottom>
      <diagonal/>
    </border>
    <border>
      <left style="medium">
        <color rgb="FFBFBCBC"/>
      </left>
      <right/>
      <top style="medium">
        <color rgb="FFBFBCBC"/>
      </top>
      <bottom/>
      <diagonal/>
    </border>
    <border>
      <left/>
      <right/>
      <top style="medium">
        <color rgb="FFBFBCBC"/>
      </top>
      <bottom/>
      <diagonal/>
    </border>
    <border>
      <left/>
      <right style="medium">
        <color rgb="FFBFBCBC"/>
      </right>
      <top style="medium">
        <color rgb="FFBFBCBC"/>
      </top>
      <bottom/>
      <diagonal/>
    </border>
    <border>
      <left style="medium">
        <color rgb="FFBFBCBC"/>
      </left>
      <right/>
      <top/>
      <bottom/>
      <diagonal/>
    </border>
    <border>
      <left style="medium">
        <color rgb="FFBFBCBC"/>
      </left>
      <right/>
      <top/>
      <bottom style="medium">
        <color rgb="FFBFBCBC"/>
      </bottom>
      <diagonal/>
    </border>
    <border>
      <left/>
      <right/>
      <top/>
      <bottom style="medium">
        <color rgb="FFBFBCBC"/>
      </bottom>
      <diagonal/>
    </border>
    <border>
      <left/>
      <right style="medium">
        <color rgb="FFBFBCBC"/>
      </right>
      <top/>
      <bottom style="medium">
        <color rgb="FFBFBCBC"/>
      </bottom>
      <diagonal/>
    </border>
    <border>
      <left style="medium">
        <color rgb="FFBFBCBC"/>
      </left>
      <right style="thin">
        <color rgb="FFBFBCBC"/>
      </right>
      <top style="medium">
        <color rgb="FFBFBCBC"/>
      </top>
      <bottom/>
      <diagonal/>
    </border>
    <border>
      <left style="medium">
        <color rgb="FFBFBCBC"/>
      </left>
      <right style="thin">
        <color rgb="FFBFBCBC"/>
      </right>
      <top/>
      <bottom/>
      <diagonal/>
    </border>
    <border>
      <left style="medium">
        <color rgb="FFBFBCBC"/>
      </left>
      <right style="thin">
        <color rgb="FFBFBCBC"/>
      </right>
      <top/>
      <bottom style="medium">
        <color rgb="FFBFBCBC"/>
      </bottom>
      <diagonal/>
    </border>
    <border>
      <left/>
      <right/>
      <top/>
      <bottom style="thin">
        <color rgb="FFBFBCBC"/>
      </bottom>
      <diagonal/>
    </border>
    <border>
      <left style="medium">
        <color rgb="FFBFBCBC"/>
      </left>
      <right style="thin">
        <color rgb="FFBFBCBC"/>
      </right>
      <top/>
      <bottom style="thin">
        <color rgb="FFBFBCBC"/>
      </bottom>
      <diagonal/>
    </border>
    <border>
      <left/>
      <right style="medium">
        <color rgb="FFBFBCBC"/>
      </right>
      <top/>
      <bottom style="thin">
        <color rgb="FFBFBCBC"/>
      </bottom>
      <diagonal/>
    </border>
    <border>
      <left style="medium">
        <color rgb="FFBFBCBC"/>
      </left>
      <right/>
      <top style="medium">
        <color rgb="FFBFBCBC"/>
      </top>
      <bottom style="medium">
        <color rgb="FFBFBCBC"/>
      </bottom>
      <diagonal/>
    </border>
    <border>
      <left/>
      <right/>
      <top style="medium">
        <color rgb="FFBFBCBC"/>
      </top>
      <bottom style="medium">
        <color rgb="FFBFBCBC"/>
      </bottom>
      <diagonal/>
    </border>
    <border>
      <left/>
      <right style="medium">
        <color rgb="FFBFBCBC"/>
      </right>
      <top style="medium">
        <color rgb="FFBFBCBC"/>
      </top>
      <bottom style="medium">
        <color rgb="FFBFBCBC"/>
      </bottom>
      <diagonal/>
    </border>
    <border>
      <left style="medium">
        <color rgb="FFBFBCBC"/>
      </left>
      <right/>
      <top/>
      <bottom style="thin">
        <color rgb="FFBFBCBC"/>
      </bottom>
      <diagonal/>
    </border>
    <border>
      <left/>
      <right style="thin">
        <color rgb="FF2F3030"/>
      </right>
      <top/>
      <bottom style="medium">
        <color rgb="FFBFBCBC"/>
      </bottom>
      <diagonal/>
    </border>
    <border>
      <left style="medium">
        <color rgb="FFBFBCBC"/>
      </left>
      <right/>
      <top style="medium">
        <color rgb="FFBFBCBC"/>
      </top>
      <bottom style="thin">
        <color rgb="FF2F3030"/>
      </bottom>
      <diagonal/>
    </border>
    <border>
      <left/>
      <right style="thin">
        <color rgb="FF2F3030"/>
      </right>
      <top style="medium">
        <color rgb="FFBFBCBC"/>
      </top>
      <bottom style="thin">
        <color rgb="FF2F3030"/>
      </bottom>
      <diagonal/>
    </border>
    <border>
      <left/>
      <right/>
      <top style="medium">
        <color rgb="FFBFBCBC"/>
      </top>
      <bottom style="thin">
        <color rgb="FF2F3030"/>
      </bottom>
      <diagonal/>
    </border>
    <border>
      <left/>
      <right style="medium">
        <color rgb="FFBFBCBC"/>
      </right>
      <top style="medium">
        <color rgb="FFBFBCBC"/>
      </top>
      <bottom style="thin">
        <color rgb="FF2F3030"/>
      </bottom>
      <diagonal/>
    </border>
    <border>
      <left style="thin">
        <color indexed="64"/>
      </left>
      <right/>
      <top style="medium">
        <color rgb="FF717357"/>
      </top>
      <bottom style="thin">
        <color rgb="FFBFBCBC"/>
      </bottom>
      <diagonal/>
    </border>
    <border>
      <left/>
      <right/>
      <top style="medium">
        <color rgb="FF717357"/>
      </top>
      <bottom style="thin">
        <color rgb="FFBFBCBC"/>
      </bottom>
      <diagonal/>
    </border>
    <border>
      <left style="medium">
        <color rgb="FF2F3030"/>
      </left>
      <right style="medium">
        <color rgb="FF2F3030"/>
      </right>
      <top style="medium">
        <color rgb="FF717357"/>
      </top>
      <bottom style="thin">
        <color rgb="FFBFBCBC"/>
      </bottom>
      <diagonal/>
    </border>
    <border>
      <left style="thin">
        <color indexed="64"/>
      </left>
      <right style="thin">
        <color rgb="FF717357"/>
      </right>
      <top style="medium">
        <color rgb="FF717357"/>
      </top>
      <bottom style="thin">
        <color rgb="FFBFBCBC"/>
      </bottom>
      <diagonal/>
    </border>
    <border>
      <left/>
      <right style="medium">
        <color rgb="FF2F3030"/>
      </right>
      <top style="medium">
        <color rgb="FF717357"/>
      </top>
      <bottom style="thin">
        <color rgb="FFBFBCBC"/>
      </bottom>
      <diagonal/>
    </border>
    <border>
      <left style="medium">
        <color rgb="FFBFBCBC"/>
      </left>
      <right style="medium">
        <color rgb="FFBFBCBC"/>
      </right>
      <top/>
      <bottom/>
      <diagonal/>
    </border>
  </borders>
  <cellStyleXfs count="4">
    <xf numFmtId="0" fontId="0" fillId="0" borderId="0"/>
    <xf numFmtId="0" fontId="13" fillId="0" borderId="0"/>
    <xf numFmtId="0" fontId="11" fillId="0" borderId="0"/>
    <xf numFmtId="0" fontId="1" fillId="0" borderId="0"/>
  </cellStyleXfs>
  <cellXfs count="413">
    <xf numFmtId="0" fontId="0" fillId="0" borderId="0" xfId="0"/>
    <xf numFmtId="0" fontId="0" fillId="0" borderId="0" xfId="0" applyAlignment="1">
      <alignment wrapText="1"/>
    </xf>
    <xf numFmtId="0" fontId="14" fillId="0" borderId="0" xfId="1" applyFont="1"/>
    <xf numFmtId="0" fontId="14" fillId="0" borderId="0" xfId="1" applyFont="1" applyProtection="1">
      <protection hidden="1"/>
    </xf>
    <xf numFmtId="0" fontId="3" fillId="7" borderId="11" xfId="0" applyFont="1" applyFill="1" applyBorder="1" applyAlignment="1" applyProtection="1">
      <alignment wrapText="1"/>
      <protection hidden="1"/>
    </xf>
    <xf numFmtId="0" fontId="11" fillId="0" borderId="0" xfId="0" applyFont="1" applyAlignment="1">
      <alignment wrapText="1"/>
    </xf>
    <xf numFmtId="0" fontId="3" fillId="7" borderId="0" xfId="0" applyFont="1" applyFill="1" applyAlignment="1" applyProtection="1">
      <alignment wrapText="1"/>
      <protection hidden="1"/>
    </xf>
    <xf numFmtId="0" fontId="11" fillId="8" borderId="0" xfId="0" applyFont="1" applyFill="1" applyAlignment="1">
      <alignment wrapText="1"/>
    </xf>
    <xf numFmtId="0" fontId="11" fillId="8" borderId="0" xfId="0" applyFont="1" applyFill="1"/>
    <xf numFmtId="0" fontId="0" fillId="8" borderId="0" xfId="0" applyFill="1" applyAlignment="1">
      <alignment wrapText="1"/>
    </xf>
    <xf numFmtId="0" fontId="11" fillId="9" borderId="0" xfId="0" applyFont="1" applyFill="1" applyAlignment="1">
      <alignment wrapText="1"/>
    </xf>
    <xf numFmtId="0" fontId="3" fillId="8" borderId="0" xfId="0" applyFont="1" applyFill="1" applyAlignment="1" applyProtection="1">
      <alignment wrapText="1"/>
      <protection hidden="1"/>
    </xf>
    <xf numFmtId="0" fontId="0" fillId="8" borderId="0" xfId="0" applyFill="1"/>
    <xf numFmtId="0" fontId="0" fillId="0" borderId="0" xfId="0" applyProtection="1">
      <protection hidden="1"/>
    </xf>
    <xf numFmtId="0" fontId="0" fillId="3" borderId="0" xfId="0" applyFill="1" applyProtection="1">
      <protection hidden="1"/>
    </xf>
    <xf numFmtId="0" fontId="6" fillId="10" borderId="0" xfId="0" applyFont="1" applyFill="1" applyProtection="1">
      <protection hidden="1"/>
    </xf>
    <xf numFmtId="0" fontId="0" fillId="10" borderId="0" xfId="0" applyFill="1" applyProtection="1">
      <protection hidden="1"/>
    </xf>
    <xf numFmtId="0" fontId="6" fillId="5" borderId="0" xfId="0" applyFont="1" applyFill="1" applyAlignment="1" applyProtection="1">
      <alignment horizontal="center"/>
      <protection hidden="1"/>
    </xf>
    <xf numFmtId="0" fontId="0" fillId="5" borderId="0" xfId="0" applyFill="1" applyProtection="1">
      <protection hidden="1"/>
    </xf>
    <xf numFmtId="0" fontId="11" fillId="5" borderId="0" xfId="0" applyFont="1" applyFill="1" applyAlignment="1" applyProtection="1">
      <alignment horizontal="center"/>
      <protection hidden="1"/>
    </xf>
    <xf numFmtId="165" fontId="0" fillId="4" borderId="0" xfId="0" applyNumberFormat="1" applyFill="1" applyProtection="1">
      <protection hidden="1"/>
    </xf>
    <xf numFmtId="166" fontId="11" fillId="4" borderId="0" xfId="0" applyNumberFormat="1" applyFont="1" applyFill="1" applyProtection="1">
      <protection hidden="1"/>
    </xf>
    <xf numFmtId="166" fontId="0" fillId="4" borderId="0" xfId="0" applyNumberFormat="1" applyFill="1" applyProtection="1">
      <protection hidden="1"/>
    </xf>
    <xf numFmtId="166" fontId="0" fillId="2" borderId="0" xfId="0" applyNumberFormat="1" applyFill="1" applyProtection="1">
      <protection hidden="1"/>
    </xf>
    <xf numFmtId="166" fontId="0" fillId="6" borderId="0" xfId="0" applyNumberFormat="1" applyFill="1" applyProtection="1">
      <protection hidden="1"/>
    </xf>
    <xf numFmtId="166" fontId="6" fillId="4" borderId="0" xfId="0" applyNumberFormat="1" applyFont="1" applyFill="1" applyProtection="1">
      <protection hidden="1"/>
    </xf>
    <xf numFmtId="0" fontId="0" fillId="10" borderId="0" xfId="0" applyFill="1" applyAlignment="1" applyProtection="1">
      <alignment horizontal="center"/>
      <protection hidden="1"/>
    </xf>
    <xf numFmtId="0" fontId="11" fillId="10" borderId="0" xfId="0" applyFont="1" applyFill="1" applyAlignment="1" applyProtection="1">
      <alignment horizontal="center"/>
      <protection hidden="1"/>
    </xf>
    <xf numFmtId="0" fontId="6" fillId="10" borderId="12" xfId="0" applyFont="1" applyFill="1" applyBorder="1" applyProtection="1">
      <protection hidden="1"/>
    </xf>
    <xf numFmtId="0" fontId="0" fillId="10" borderId="12" xfId="0" applyFill="1" applyBorder="1" applyProtection="1">
      <protection hidden="1"/>
    </xf>
    <xf numFmtId="166" fontId="11" fillId="10" borderId="0" xfId="0" applyNumberFormat="1" applyFont="1" applyFill="1" applyAlignment="1" applyProtection="1">
      <alignment horizontal="center"/>
      <protection hidden="1"/>
    </xf>
    <xf numFmtId="0" fontId="11" fillId="10" borderId="12" xfId="0" applyFont="1" applyFill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right"/>
      <protection hidden="1"/>
    </xf>
    <xf numFmtId="165" fontId="11" fillId="0" borderId="0" xfId="0" applyNumberFormat="1" applyFont="1" applyProtection="1">
      <protection hidden="1"/>
    </xf>
    <xf numFmtId="165" fontId="0" fillId="0" borderId="0" xfId="0" applyNumberFormat="1" applyProtection="1">
      <protection hidden="1"/>
    </xf>
    <xf numFmtId="166" fontId="11" fillId="0" borderId="0" xfId="0" applyNumberFormat="1" applyFont="1" applyProtection="1">
      <protection hidden="1"/>
    </xf>
    <xf numFmtId="166" fontId="0" fillId="0" borderId="0" xfId="0" applyNumberFormat="1" applyProtection="1">
      <protection hidden="1"/>
    </xf>
    <xf numFmtId="0" fontId="11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12" xfId="0" applyBorder="1" applyAlignment="1" applyProtection="1">
      <alignment horizontal="right"/>
      <protection hidden="1"/>
    </xf>
    <xf numFmtId="165" fontId="11" fillId="0" borderId="12" xfId="0" applyNumberFormat="1" applyFont="1" applyBorder="1" applyProtection="1">
      <protection hidden="1"/>
    </xf>
    <xf numFmtId="165" fontId="0" fillId="0" borderId="12" xfId="0" applyNumberFormat="1" applyBorder="1" applyProtection="1">
      <protection hidden="1"/>
    </xf>
    <xf numFmtId="0" fontId="11" fillId="0" borderId="12" xfId="0" applyFont="1" applyBorder="1" applyProtection="1">
      <protection hidden="1"/>
    </xf>
    <xf numFmtId="0" fontId="11" fillId="0" borderId="12" xfId="0" applyFont="1" applyBorder="1" applyAlignment="1" applyProtection="1">
      <alignment horizontal="right"/>
      <protection hidden="1"/>
    </xf>
    <xf numFmtId="0" fontId="6" fillId="0" borderId="0" xfId="0" applyFont="1" applyAlignment="1" applyProtection="1">
      <alignment horizontal="right"/>
      <protection hidden="1"/>
    </xf>
    <xf numFmtId="165" fontId="6" fillId="0" borderId="0" xfId="0" applyNumberFormat="1" applyFont="1" applyAlignment="1" applyProtection="1">
      <alignment horizontal="right"/>
      <protection hidden="1"/>
    </xf>
    <xf numFmtId="166" fontId="6" fillId="0" borderId="0" xfId="0" applyNumberFormat="1" applyFon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17" fillId="0" borderId="13" xfId="0" applyFont="1" applyBorder="1" applyProtection="1">
      <protection hidden="1"/>
    </xf>
    <xf numFmtId="0" fontId="18" fillId="0" borderId="13" xfId="0" applyFont="1" applyBorder="1" applyProtection="1">
      <protection hidden="1"/>
    </xf>
    <xf numFmtId="0" fontId="0" fillId="0" borderId="13" xfId="0" applyBorder="1" applyProtection="1">
      <protection hidden="1"/>
    </xf>
    <xf numFmtId="0" fontId="8" fillId="0" borderId="13" xfId="0" applyFont="1" applyBorder="1" applyProtection="1">
      <protection hidden="1"/>
    </xf>
    <xf numFmtId="14" fontId="8" fillId="0" borderId="13" xfId="0" applyNumberFormat="1" applyFont="1" applyBorder="1" applyProtection="1">
      <protection hidden="1"/>
    </xf>
    <xf numFmtId="0" fontId="6" fillId="10" borderId="18" xfId="0" applyFont="1" applyFill="1" applyBorder="1" applyProtection="1">
      <protection hidden="1"/>
    </xf>
    <xf numFmtId="0" fontId="11" fillId="10" borderId="18" xfId="0" applyFont="1" applyFill="1" applyBorder="1" applyAlignment="1" applyProtection="1">
      <alignment horizontal="right"/>
      <protection hidden="1"/>
    </xf>
    <xf numFmtId="0" fontId="11" fillId="10" borderId="19" xfId="0" applyFont="1" applyFill="1" applyBorder="1" applyProtection="1">
      <protection hidden="1"/>
    </xf>
    <xf numFmtId="0" fontId="11" fillId="0" borderId="18" xfId="0" applyFont="1" applyBorder="1" applyAlignment="1" applyProtection="1">
      <alignment horizontal="right"/>
      <protection hidden="1"/>
    </xf>
    <xf numFmtId="0" fontId="0" fillId="0" borderId="18" xfId="0" applyBorder="1" applyAlignment="1" applyProtection="1">
      <alignment horizontal="right"/>
      <protection hidden="1"/>
    </xf>
    <xf numFmtId="0" fontId="0" fillId="0" borderId="19" xfId="0" applyBorder="1" applyAlignment="1" applyProtection="1">
      <alignment horizontal="right"/>
      <protection hidden="1"/>
    </xf>
    <xf numFmtId="0" fontId="11" fillId="0" borderId="19" xfId="0" applyFont="1" applyBorder="1" applyAlignment="1" applyProtection="1">
      <alignment horizontal="right"/>
      <protection hidden="1"/>
    </xf>
    <xf numFmtId="0" fontId="6" fillId="0" borderId="18" xfId="0" applyFont="1" applyBorder="1" applyAlignment="1" applyProtection="1">
      <alignment horizontal="right"/>
      <protection hidden="1"/>
    </xf>
    <xf numFmtId="0" fontId="0" fillId="10" borderId="17" xfId="0" applyFill="1" applyBorder="1" applyProtection="1">
      <protection hidden="1"/>
    </xf>
    <xf numFmtId="0" fontId="0" fillId="10" borderId="18" xfId="0" applyFill="1" applyBorder="1" applyAlignment="1" applyProtection="1">
      <alignment horizontal="center"/>
      <protection hidden="1"/>
    </xf>
    <xf numFmtId="0" fontId="11" fillId="10" borderId="18" xfId="0" applyFont="1" applyFill="1" applyBorder="1" applyAlignment="1" applyProtection="1">
      <alignment horizontal="center"/>
      <protection hidden="1"/>
    </xf>
    <xf numFmtId="0" fontId="11" fillId="10" borderId="19" xfId="0" applyFont="1" applyFill="1" applyBorder="1" applyAlignment="1" applyProtection="1">
      <alignment horizontal="center"/>
      <protection hidden="1"/>
    </xf>
    <xf numFmtId="165" fontId="11" fillId="0" borderId="18" xfId="0" applyNumberFormat="1" applyFont="1" applyBorder="1" applyProtection="1">
      <protection hidden="1"/>
    </xf>
    <xf numFmtId="165" fontId="0" fillId="0" borderId="18" xfId="0" applyNumberFormat="1" applyBorder="1" applyProtection="1">
      <protection hidden="1"/>
    </xf>
    <xf numFmtId="165" fontId="0" fillId="0" borderId="19" xfId="0" applyNumberFormat="1" applyBorder="1" applyProtection="1">
      <protection hidden="1"/>
    </xf>
    <xf numFmtId="166" fontId="6" fillId="0" borderId="18" xfId="0" applyNumberFormat="1" applyFont="1" applyBorder="1" applyAlignment="1" applyProtection="1">
      <alignment horizontal="center"/>
      <protection hidden="1"/>
    </xf>
    <xf numFmtId="0" fontId="6" fillId="10" borderId="20" xfId="0" applyFont="1" applyFill="1" applyBorder="1" applyAlignment="1" applyProtection="1">
      <alignment horizontal="center"/>
      <protection hidden="1"/>
    </xf>
    <xf numFmtId="0" fontId="0" fillId="10" borderId="21" xfId="0" applyFill="1" applyBorder="1" applyAlignment="1" applyProtection="1">
      <alignment horizontal="center"/>
      <protection hidden="1"/>
    </xf>
    <xf numFmtId="0" fontId="11" fillId="10" borderId="21" xfId="0" applyFont="1" applyFill="1" applyBorder="1" applyAlignment="1" applyProtection="1">
      <alignment horizontal="center"/>
      <protection hidden="1"/>
    </xf>
    <xf numFmtId="0" fontId="11" fillId="10" borderId="22" xfId="0" applyFont="1" applyFill="1" applyBorder="1" applyAlignment="1" applyProtection="1">
      <alignment horizontal="center"/>
      <protection hidden="1"/>
    </xf>
    <xf numFmtId="165" fontId="0" fillId="0" borderId="21" xfId="0" applyNumberFormat="1" applyBorder="1" applyProtection="1">
      <protection hidden="1"/>
    </xf>
    <xf numFmtId="165" fontId="0" fillId="0" borderId="22" xfId="0" applyNumberFormat="1" applyBorder="1" applyProtection="1">
      <protection hidden="1"/>
    </xf>
    <xf numFmtId="167" fontId="0" fillId="0" borderId="21" xfId="0" applyNumberFormat="1" applyBorder="1" applyProtection="1">
      <protection hidden="1"/>
    </xf>
    <xf numFmtId="167" fontId="0" fillId="0" borderId="22" xfId="0" applyNumberFormat="1" applyBorder="1" applyProtection="1">
      <protection hidden="1"/>
    </xf>
    <xf numFmtId="166" fontId="11" fillId="0" borderId="21" xfId="0" applyNumberFormat="1" applyFont="1" applyBorder="1" applyProtection="1">
      <protection hidden="1"/>
    </xf>
    <xf numFmtId="166" fontId="0" fillId="0" borderId="21" xfId="0" applyNumberFormat="1" applyBorder="1" applyProtection="1">
      <protection hidden="1"/>
    </xf>
    <xf numFmtId="166" fontId="0" fillId="0" borderId="22" xfId="0" applyNumberFormat="1" applyBorder="1" applyProtection="1">
      <protection hidden="1"/>
    </xf>
    <xf numFmtId="168" fontId="0" fillId="0" borderId="21" xfId="0" applyNumberFormat="1" applyBorder="1" applyProtection="1">
      <protection hidden="1"/>
    </xf>
    <xf numFmtId="168" fontId="11" fillId="0" borderId="21" xfId="0" applyNumberFormat="1" applyFont="1" applyBorder="1" applyProtection="1">
      <protection hidden="1"/>
    </xf>
    <xf numFmtId="168" fontId="0" fillId="0" borderId="22" xfId="0" applyNumberFormat="1" applyBorder="1" applyProtection="1">
      <protection hidden="1"/>
    </xf>
    <xf numFmtId="0" fontId="6" fillId="9" borderId="12" xfId="0" applyFont="1" applyFill="1" applyBorder="1" applyProtection="1">
      <protection hidden="1"/>
    </xf>
    <xf numFmtId="0" fontId="0" fillId="9" borderId="0" xfId="0" applyFill="1" applyProtection="1">
      <protection hidden="1"/>
    </xf>
    <xf numFmtId="0" fontId="11" fillId="9" borderId="0" xfId="0" applyFont="1" applyFill="1" applyProtection="1">
      <protection hidden="1"/>
    </xf>
    <xf numFmtId="0" fontId="11" fillId="9" borderId="12" xfId="0" applyFont="1" applyFill="1" applyBorder="1" applyProtection="1">
      <protection hidden="1"/>
    </xf>
    <xf numFmtId="0" fontId="6" fillId="10" borderId="20" xfId="0" applyFont="1" applyFill="1" applyBorder="1" applyAlignment="1" applyProtection="1">
      <alignment horizontal="center" wrapText="1"/>
      <protection hidden="1"/>
    </xf>
    <xf numFmtId="165" fontId="0" fillId="0" borderId="21" xfId="0" applyNumberFormat="1" applyBorder="1" applyAlignment="1" applyProtection="1">
      <alignment wrapText="1"/>
      <protection hidden="1"/>
    </xf>
    <xf numFmtId="165" fontId="0" fillId="0" borderId="21" xfId="0" applyNumberFormat="1" applyBorder="1" applyAlignment="1" applyProtection="1">
      <alignment horizontal="right" wrapText="1"/>
      <protection hidden="1"/>
    </xf>
    <xf numFmtId="0" fontId="6" fillId="4" borderId="0" xfId="0" applyFont="1" applyFill="1" applyProtection="1">
      <protection hidden="1"/>
    </xf>
    <xf numFmtId="165" fontId="6" fillId="7" borderId="0" xfId="0" applyNumberFormat="1" applyFont="1" applyFill="1" applyProtection="1">
      <protection locked="0"/>
    </xf>
    <xf numFmtId="165" fontId="6" fillId="7" borderId="0" xfId="0" applyNumberFormat="1" applyFont="1" applyFill="1" applyProtection="1">
      <protection hidden="1"/>
    </xf>
    <xf numFmtId="0" fontId="6" fillId="0" borderId="25" xfId="0" applyFont="1" applyBorder="1" applyAlignment="1" applyProtection="1">
      <alignment horizontal="right"/>
      <protection hidden="1"/>
    </xf>
    <xf numFmtId="166" fontId="6" fillId="0" borderId="0" xfId="0" applyNumberFormat="1" applyFont="1" applyAlignment="1" applyProtection="1">
      <alignment horizontal="right"/>
      <protection hidden="1"/>
    </xf>
    <xf numFmtId="165" fontId="11" fillId="0" borderId="0" xfId="0" applyNumberFormat="1" applyFont="1" applyAlignment="1" applyProtection="1">
      <alignment horizontal="right"/>
      <protection hidden="1"/>
    </xf>
    <xf numFmtId="0" fontId="11" fillId="0" borderId="18" xfId="0" applyFont="1" applyBorder="1" applyAlignment="1" applyProtection="1">
      <alignment horizontal="left"/>
      <protection hidden="1"/>
    </xf>
    <xf numFmtId="165" fontId="11" fillId="0" borderId="18" xfId="0" applyNumberFormat="1" applyFont="1" applyBorder="1" applyAlignment="1" applyProtection="1">
      <alignment horizontal="left"/>
      <protection hidden="1"/>
    </xf>
    <xf numFmtId="0" fontId="11" fillId="0" borderId="0" xfId="0" applyFont="1" applyAlignment="1" applyProtection="1">
      <alignment horizontal="left"/>
      <protection hidden="1"/>
    </xf>
    <xf numFmtId="166" fontId="11" fillId="0" borderId="0" xfId="0" applyNumberFormat="1" applyFont="1" applyAlignment="1" applyProtection="1">
      <alignment horizontal="right"/>
      <protection hidden="1"/>
    </xf>
    <xf numFmtId="165" fontId="11" fillId="0" borderId="18" xfId="0" applyNumberFormat="1" applyFont="1" applyBorder="1" applyAlignment="1" applyProtection="1">
      <alignment horizontal="left" wrapText="1"/>
      <protection hidden="1"/>
    </xf>
    <xf numFmtId="14" fontId="19" fillId="0" borderId="0" xfId="0" applyNumberFormat="1" applyFont="1" applyAlignment="1" applyProtection="1">
      <alignment horizontal="right"/>
      <protection hidden="1"/>
    </xf>
    <xf numFmtId="0" fontId="11" fillId="0" borderId="12" xfId="0" applyFont="1" applyBorder="1" applyAlignment="1" applyProtection="1">
      <alignment horizontal="left"/>
      <protection hidden="1"/>
    </xf>
    <xf numFmtId="165" fontId="11" fillId="0" borderId="12" xfId="0" applyNumberFormat="1" applyFont="1" applyBorder="1" applyAlignment="1" applyProtection="1">
      <alignment horizontal="right"/>
      <protection hidden="1"/>
    </xf>
    <xf numFmtId="0" fontId="11" fillId="0" borderId="19" xfId="0" applyFont="1" applyBorder="1" applyAlignment="1" applyProtection="1">
      <alignment horizontal="left"/>
      <protection hidden="1"/>
    </xf>
    <xf numFmtId="165" fontId="11" fillId="0" borderId="25" xfId="0" applyNumberFormat="1" applyFont="1" applyBorder="1" applyProtection="1">
      <protection hidden="1"/>
    </xf>
    <xf numFmtId="167" fontId="11" fillId="0" borderId="25" xfId="0" applyNumberFormat="1" applyFont="1" applyBorder="1" applyProtection="1">
      <protection hidden="1"/>
    </xf>
    <xf numFmtId="166" fontId="11" fillId="0" borderId="25" xfId="0" applyNumberFormat="1" applyFont="1" applyBorder="1" applyProtection="1">
      <protection hidden="1"/>
    </xf>
    <xf numFmtId="168" fontId="11" fillId="0" borderId="25" xfId="0" applyNumberFormat="1" applyFont="1" applyBorder="1" applyProtection="1">
      <protection hidden="1"/>
    </xf>
    <xf numFmtId="0" fontId="11" fillId="0" borderId="25" xfId="0" applyFont="1" applyBorder="1" applyProtection="1">
      <protection hidden="1"/>
    </xf>
    <xf numFmtId="170" fontId="11" fillId="0" borderId="0" xfId="0" applyNumberFormat="1" applyFont="1" applyProtection="1">
      <protection hidden="1"/>
    </xf>
    <xf numFmtId="0" fontId="11" fillId="0" borderId="0" xfId="0" applyFont="1"/>
    <xf numFmtId="165" fontId="11" fillId="0" borderId="25" xfId="0" applyNumberFormat="1" applyFont="1" applyBorder="1" applyAlignment="1" applyProtection="1">
      <alignment horizontal="right"/>
      <protection hidden="1"/>
    </xf>
    <xf numFmtId="0" fontId="0" fillId="0" borderId="0" xfId="0" applyAlignment="1" applyProtection="1">
      <alignment horizontal="right" wrapText="1"/>
      <protection hidden="1"/>
    </xf>
    <xf numFmtId="0" fontId="8" fillId="10" borderId="0" xfId="0" applyFont="1" applyFill="1" applyProtection="1">
      <protection hidden="1"/>
    </xf>
    <xf numFmtId="0" fontId="6" fillId="10" borderId="26" xfId="0" applyFont="1" applyFill="1" applyBorder="1" applyProtection="1">
      <protection hidden="1"/>
    </xf>
    <xf numFmtId="0" fontId="0" fillId="10" borderId="27" xfId="0" applyFill="1" applyBorder="1" applyProtection="1">
      <protection hidden="1"/>
    </xf>
    <xf numFmtId="0" fontId="0" fillId="10" borderId="27" xfId="0" applyFill="1" applyBorder="1" applyAlignment="1" applyProtection="1">
      <alignment horizontal="center"/>
      <protection hidden="1"/>
    </xf>
    <xf numFmtId="0" fontId="0" fillId="10" borderId="28" xfId="0" applyFill="1" applyBorder="1" applyProtection="1">
      <protection hidden="1"/>
    </xf>
    <xf numFmtId="0" fontId="11" fillId="0" borderId="27" xfId="0" applyFont="1" applyBorder="1" applyAlignment="1" applyProtection="1">
      <alignment horizontal="center"/>
      <protection hidden="1"/>
    </xf>
    <xf numFmtId="0" fontId="11" fillId="0" borderId="27" xfId="0" applyFont="1" applyBorder="1" applyProtection="1">
      <protection hidden="1"/>
    </xf>
    <xf numFmtId="0" fontId="11" fillId="0" borderId="28" xfId="0" applyFont="1" applyBorder="1" applyProtection="1">
      <protection hidden="1"/>
    </xf>
    <xf numFmtId="0" fontId="11" fillId="0" borderId="29" xfId="0" applyFont="1" applyBorder="1" applyProtection="1">
      <protection hidden="1"/>
    </xf>
    <xf numFmtId="0" fontId="0" fillId="0" borderId="24" xfId="0" applyBorder="1" applyAlignment="1" applyProtection="1">
      <alignment horizontal="right"/>
      <protection hidden="1"/>
    </xf>
    <xf numFmtId="165" fontId="0" fillId="0" borderId="23" xfId="0" applyNumberFormat="1" applyBorder="1" applyProtection="1">
      <protection hidden="1"/>
    </xf>
    <xf numFmtId="165" fontId="0" fillId="0" borderId="24" xfId="0" applyNumberFormat="1" applyBorder="1" applyProtection="1">
      <protection hidden="1"/>
    </xf>
    <xf numFmtId="0" fontId="11" fillId="0" borderId="12" xfId="0" applyFont="1" applyBorder="1" applyAlignment="1" applyProtection="1">
      <alignment horizontal="right" wrapText="1"/>
      <protection hidden="1"/>
    </xf>
    <xf numFmtId="0" fontId="6" fillId="10" borderId="17" xfId="0" applyFont="1" applyFill="1" applyBorder="1" applyAlignment="1" applyProtection="1">
      <alignment horizontal="center"/>
      <protection hidden="1"/>
    </xf>
    <xf numFmtId="0" fontId="0" fillId="10" borderId="31" xfId="0" applyFill="1" applyBorder="1" applyAlignment="1" applyProtection="1">
      <alignment horizontal="center"/>
      <protection hidden="1"/>
    </xf>
    <xf numFmtId="0" fontId="11" fillId="10" borderId="31" xfId="0" applyFont="1" applyFill="1" applyBorder="1" applyAlignment="1" applyProtection="1">
      <alignment horizontal="center"/>
      <protection hidden="1"/>
    </xf>
    <xf numFmtId="0" fontId="11" fillId="10" borderId="32" xfId="0" applyFont="1" applyFill="1" applyBorder="1" applyAlignment="1" applyProtection="1">
      <alignment horizontal="center"/>
      <protection hidden="1"/>
    </xf>
    <xf numFmtId="166" fontId="0" fillId="0" borderId="31" xfId="0" applyNumberFormat="1" applyBorder="1" applyProtection="1">
      <protection hidden="1"/>
    </xf>
    <xf numFmtId="166" fontId="0" fillId="0" borderId="32" xfId="0" applyNumberFormat="1" applyBorder="1" applyProtection="1">
      <protection hidden="1"/>
    </xf>
    <xf numFmtId="165" fontId="0" fillId="0" borderId="31" xfId="0" applyNumberFormat="1" applyBorder="1" applyProtection="1">
      <protection hidden="1"/>
    </xf>
    <xf numFmtId="165" fontId="0" fillId="0" borderId="32" xfId="0" applyNumberFormat="1" applyBorder="1" applyProtection="1">
      <protection hidden="1"/>
    </xf>
    <xf numFmtId="165" fontId="11" fillId="0" borderId="0" xfId="0" applyNumberFormat="1" applyFont="1" applyAlignment="1" applyProtection="1">
      <alignment horizontal="center"/>
      <protection hidden="1"/>
    </xf>
    <xf numFmtId="0" fontId="11" fillId="0" borderId="18" xfId="0" applyFont="1" applyBorder="1" applyProtection="1">
      <protection hidden="1"/>
    </xf>
    <xf numFmtId="0" fontId="0" fillId="0" borderId="18" xfId="0" applyBorder="1" applyProtection="1">
      <protection hidden="1"/>
    </xf>
    <xf numFmtId="0" fontId="11" fillId="10" borderId="34" xfId="0" applyFont="1" applyFill="1" applyBorder="1" applyAlignment="1" applyProtection="1">
      <alignment horizontal="center"/>
      <protection hidden="1"/>
    </xf>
    <xf numFmtId="0" fontId="11" fillId="10" borderId="35" xfId="0" applyFont="1" applyFill="1" applyBorder="1" applyAlignment="1" applyProtection="1">
      <alignment horizontal="center"/>
      <protection hidden="1"/>
    </xf>
    <xf numFmtId="166" fontId="0" fillId="0" borderId="34" xfId="0" applyNumberFormat="1" applyBorder="1" applyAlignment="1" applyProtection="1">
      <alignment horizontal="center"/>
      <protection hidden="1"/>
    </xf>
    <xf numFmtId="0" fontId="0" fillId="0" borderId="34" xfId="0" applyBorder="1" applyAlignment="1" applyProtection="1">
      <alignment horizontal="center"/>
      <protection hidden="1"/>
    </xf>
    <xf numFmtId="0" fontId="0" fillId="0" borderId="35" xfId="0" applyBorder="1" applyAlignment="1" applyProtection="1">
      <alignment horizontal="center"/>
      <protection hidden="1"/>
    </xf>
    <xf numFmtId="0" fontId="0" fillId="0" borderId="36" xfId="0" applyBorder="1" applyAlignment="1" applyProtection="1">
      <alignment horizontal="center"/>
      <protection hidden="1"/>
    </xf>
    <xf numFmtId="0" fontId="0" fillId="10" borderId="34" xfId="0" applyFill="1" applyBorder="1" applyProtection="1">
      <protection hidden="1"/>
    </xf>
    <xf numFmtId="0" fontId="6" fillId="0" borderId="34" xfId="0" applyFont="1" applyBorder="1" applyProtection="1">
      <protection hidden="1"/>
    </xf>
    <xf numFmtId="0" fontId="11" fillId="0" borderId="34" xfId="0" applyFont="1" applyBorder="1" applyProtection="1">
      <protection hidden="1"/>
    </xf>
    <xf numFmtId="0" fontId="11" fillId="0" borderId="35" xfId="0" applyFont="1" applyBorder="1" applyProtection="1">
      <protection hidden="1"/>
    </xf>
    <xf numFmtId="0" fontId="0" fillId="10" borderId="18" xfId="0" applyFill="1" applyBorder="1" applyProtection="1">
      <protection hidden="1"/>
    </xf>
    <xf numFmtId="0" fontId="0" fillId="10" borderId="0" xfId="0" applyFill="1"/>
    <xf numFmtId="0" fontId="0" fillId="10" borderId="40" xfId="0" applyFill="1" applyBorder="1" applyAlignment="1" applyProtection="1">
      <alignment horizontal="center"/>
      <protection hidden="1"/>
    </xf>
    <xf numFmtId="0" fontId="0" fillId="0" borderId="35" xfId="0" applyBorder="1" applyProtection="1">
      <protection hidden="1"/>
    </xf>
    <xf numFmtId="0" fontId="0" fillId="10" borderId="40" xfId="0" applyFill="1" applyBorder="1" applyProtection="1">
      <protection hidden="1"/>
    </xf>
    <xf numFmtId="165" fontId="6" fillId="10" borderId="0" xfId="0" applyNumberFormat="1" applyFont="1" applyFill="1" applyProtection="1">
      <protection hidden="1"/>
    </xf>
    <xf numFmtId="0" fontId="0" fillId="10" borderId="0" xfId="0" applyFill="1" applyAlignment="1" applyProtection="1">
      <alignment horizontal="right"/>
      <protection hidden="1"/>
    </xf>
    <xf numFmtId="0" fontId="0" fillId="10" borderId="0" xfId="0" applyFill="1" applyAlignment="1">
      <alignment horizontal="right"/>
    </xf>
    <xf numFmtId="4" fontId="12" fillId="0" borderId="0" xfId="0" applyNumberFormat="1" applyFont="1"/>
    <xf numFmtId="164" fontId="5" fillId="0" borderId="7" xfId="0" applyNumberFormat="1" applyFont="1" applyBorder="1" applyAlignment="1" applyProtection="1">
      <alignment horizontal="center"/>
      <protection hidden="1"/>
    </xf>
    <xf numFmtId="4" fontId="3" fillId="0" borderId="0" xfId="0" applyNumberFormat="1" applyFont="1"/>
    <xf numFmtId="164" fontId="5" fillId="0" borderId="0" xfId="0" applyNumberFormat="1" applyFont="1" applyAlignment="1" applyProtection="1">
      <alignment horizontal="center"/>
      <protection hidden="1"/>
    </xf>
    <xf numFmtId="169" fontId="7" fillId="0" borderId="3" xfId="0" applyNumberFormat="1" applyFont="1" applyBorder="1" applyAlignment="1" applyProtection="1">
      <alignment horizontal="center"/>
      <protection hidden="1"/>
    </xf>
    <xf numFmtId="4" fontId="12" fillId="0" borderId="4" xfId="0" applyNumberFormat="1" applyFont="1" applyBorder="1"/>
    <xf numFmtId="4" fontId="3" fillId="0" borderId="4" xfId="0" applyNumberFormat="1" applyFont="1" applyBorder="1"/>
    <xf numFmtId="4" fontId="3" fillId="0" borderId="1" xfId="0" applyNumberFormat="1" applyFont="1" applyBorder="1"/>
    <xf numFmtId="164" fontId="5" fillId="0" borderId="2" xfId="0" applyNumberFormat="1" applyFont="1" applyBorder="1" applyAlignment="1" applyProtection="1">
      <alignment horizontal="center"/>
      <protection hidden="1"/>
    </xf>
    <xf numFmtId="164" fontId="5" fillId="0" borderId="6" xfId="0" applyNumberFormat="1" applyFont="1" applyBorder="1" applyAlignment="1" applyProtection="1">
      <alignment horizontal="center"/>
      <protection hidden="1"/>
    </xf>
    <xf numFmtId="164" fontId="5" fillId="0" borderId="8" xfId="0" applyNumberFormat="1" applyFont="1" applyBorder="1" applyAlignment="1" applyProtection="1">
      <alignment horizontal="center"/>
      <protection hidden="1"/>
    </xf>
    <xf numFmtId="4" fontId="16" fillId="0" borderId="4" xfId="0" applyNumberFormat="1" applyFont="1" applyBorder="1"/>
    <xf numFmtId="4" fontId="16" fillId="0" borderId="0" xfId="0" applyNumberFormat="1" applyFont="1"/>
    <xf numFmtId="164" fontId="5" fillId="0" borderId="5" xfId="0" applyNumberFormat="1" applyFont="1" applyBorder="1" applyAlignment="1" applyProtection="1">
      <alignment horizontal="center"/>
      <protection hidden="1"/>
    </xf>
    <xf numFmtId="4" fontId="3" fillId="0" borderId="10" xfId="0" applyNumberFormat="1" applyFont="1" applyBorder="1"/>
    <xf numFmtId="0" fontId="3" fillId="0" borderId="2" xfId="0" applyFont="1" applyBorder="1" applyAlignment="1" applyProtection="1">
      <alignment horizontal="right"/>
      <protection hidden="1"/>
    </xf>
    <xf numFmtId="0" fontId="3" fillId="0" borderId="6" xfId="0" applyFont="1" applyBorder="1" applyAlignment="1" applyProtection="1">
      <alignment horizontal="right"/>
      <protection hidden="1"/>
    </xf>
    <xf numFmtId="0" fontId="3" fillId="0" borderId="8" xfId="0" applyFont="1" applyBorder="1" applyAlignment="1" applyProtection="1">
      <alignment horizontal="right"/>
      <protection hidden="1"/>
    </xf>
    <xf numFmtId="0" fontId="3" fillId="0" borderId="5" xfId="0" applyFont="1" applyBorder="1" applyAlignment="1" applyProtection="1">
      <alignment horizontal="right"/>
      <protection hidden="1"/>
    </xf>
    <xf numFmtId="0" fontId="0" fillId="0" borderId="0" xfId="0" applyAlignment="1">
      <alignment horizontal="right"/>
    </xf>
    <xf numFmtId="164" fontId="5" fillId="0" borderId="42" xfId="0" applyNumberFormat="1" applyFont="1" applyBorder="1" applyAlignment="1" applyProtection="1">
      <alignment horizontal="right"/>
      <protection hidden="1"/>
    </xf>
    <xf numFmtId="164" fontId="5" fillId="0" borderId="43" xfId="0" applyNumberFormat="1" applyFont="1" applyBorder="1" applyAlignment="1" applyProtection="1">
      <alignment horizontal="right"/>
      <protection hidden="1"/>
    </xf>
    <xf numFmtId="0" fontId="7" fillId="0" borderId="44" xfId="0" applyFont="1" applyBorder="1" applyAlignment="1" applyProtection="1">
      <alignment horizontal="right"/>
      <protection hidden="1"/>
    </xf>
    <xf numFmtId="164" fontId="5" fillId="0" borderId="44" xfId="0" applyNumberFormat="1" applyFont="1" applyBorder="1" applyAlignment="1" applyProtection="1">
      <alignment horizontal="right"/>
      <protection hidden="1"/>
    </xf>
    <xf numFmtId="164" fontId="5" fillId="0" borderId="41" xfId="0" applyNumberFormat="1" applyFont="1" applyBorder="1" applyAlignment="1" applyProtection="1">
      <alignment horizontal="right"/>
      <protection hidden="1"/>
    </xf>
    <xf numFmtId="165" fontId="5" fillId="0" borderId="2" xfId="0" applyNumberFormat="1" applyFont="1" applyBorder="1" applyAlignment="1" applyProtection="1">
      <alignment horizontal="center"/>
      <protection hidden="1"/>
    </xf>
    <xf numFmtId="165" fontId="5" fillId="0" borderId="6" xfId="0" applyNumberFormat="1" applyFont="1" applyBorder="1" applyAlignment="1" applyProtection="1">
      <alignment horizontal="center"/>
      <protection hidden="1"/>
    </xf>
    <xf numFmtId="165" fontId="5" fillId="0" borderId="8" xfId="0" applyNumberFormat="1" applyFont="1" applyBorder="1" applyAlignment="1" applyProtection="1">
      <alignment horizontal="center"/>
      <protection hidden="1"/>
    </xf>
    <xf numFmtId="165" fontId="5" fillId="0" borderId="5" xfId="0" applyNumberFormat="1" applyFont="1" applyBorder="1" applyAlignment="1" applyProtection="1">
      <alignment horizontal="center"/>
      <protection hidden="1"/>
    </xf>
    <xf numFmtId="165" fontId="7" fillId="0" borderId="8" xfId="0" applyNumberFormat="1" applyFont="1" applyBorder="1" applyAlignment="1" applyProtection="1">
      <alignment horizontal="center"/>
      <protection hidden="1"/>
    </xf>
    <xf numFmtId="0" fontId="21" fillId="0" borderId="13" xfId="0" applyFont="1" applyBorder="1" applyAlignment="1" applyProtection="1">
      <alignment vertical="center"/>
      <protection hidden="1"/>
    </xf>
    <xf numFmtId="0" fontId="20" fillId="0" borderId="13" xfId="0" applyFont="1" applyBorder="1" applyProtection="1">
      <protection hidden="1"/>
    </xf>
    <xf numFmtId="0" fontId="3" fillId="0" borderId="13" xfId="0" applyFont="1" applyBorder="1" applyAlignment="1" applyProtection="1">
      <alignment horizontal="right"/>
      <protection hidden="1"/>
    </xf>
    <xf numFmtId="0" fontId="3" fillId="0" borderId="13" xfId="0" applyFont="1" applyBorder="1" applyProtection="1">
      <protection hidden="1"/>
    </xf>
    <xf numFmtId="0" fontId="15" fillId="0" borderId="0" xfId="1" applyFont="1" applyProtection="1">
      <protection hidden="1"/>
    </xf>
    <xf numFmtId="0" fontId="14" fillId="0" borderId="0" xfId="1" applyFont="1" applyAlignment="1" applyProtection="1">
      <alignment horizontal="center"/>
      <protection hidden="1"/>
    </xf>
    <xf numFmtId="0" fontId="25" fillId="0" borderId="0" xfId="1" applyFont="1" applyProtection="1">
      <protection hidden="1"/>
    </xf>
    <xf numFmtId="0" fontId="25" fillId="0" borderId="0" xfId="1" applyFont="1" applyAlignment="1" applyProtection="1">
      <alignment horizontal="center"/>
      <protection hidden="1"/>
    </xf>
    <xf numFmtId="0" fontId="25" fillId="0" borderId="38" xfId="1" applyFont="1" applyBorder="1" applyProtection="1">
      <protection hidden="1"/>
    </xf>
    <xf numFmtId="0" fontId="25" fillId="0" borderId="48" xfId="1" applyFont="1" applyBorder="1" applyProtection="1">
      <protection hidden="1"/>
    </xf>
    <xf numFmtId="2" fontId="25" fillId="0" borderId="0" xfId="1" applyNumberFormat="1" applyFont="1" applyAlignment="1" applyProtection="1">
      <alignment horizontal="center"/>
      <protection hidden="1"/>
    </xf>
    <xf numFmtId="0" fontId="25" fillId="0" borderId="50" xfId="1" applyFont="1" applyBorder="1" applyProtection="1">
      <protection hidden="1"/>
    </xf>
    <xf numFmtId="0" fontId="25" fillId="0" borderId="51" xfId="1" applyFont="1" applyBorder="1" applyProtection="1">
      <protection hidden="1"/>
    </xf>
    <xf numFmtId="0" fontId="25" fillId="0" borderId="49" xfId="1" applyFont="1" applyBorder="1" applyProtection="1">
      <protection hidden="1"/>
    </xf>
    <xf numFmtId="0" fontId="25" fillId="0" borderId="46" xfId="1" applyFont="1" applyBorder="1" applyProtection="1">
      <protection hidden="1"/>
    </xf>
    <xf numFmtId="0" fontId="25" fillId="0" borderId="47" xfId="1" applyFont="1" applyBorder="1" applyProtection="1">
      <protection hidden="1"/>
    </xf>
    <xf numFmtId="0" fontId="25" fillId="0" borderId="52" xfId="1" applyFont="1" applyBorder="1" applyProtection="1">
      <protection hidden="1"/>
    </xf>
    <xf numFmtId="0" fontId="25" fillId="0" borderId="53" xfId="1" applyFont="1" applyBorder="1" applyProtection="1">
      <protection hidden="1"/>
    </xf>
    <xf numFmtId="0" fontId="25" fillId="0" borderId="0" xfId="1" applyFont="1" applyAlignment="1" applyProtection="1">
      <alignment horizontal="right"/>
      <protection hidden="1"/>
    </xf>
    <xf numFmtId="4" fontId="25" fillId="0" borderId="0" xfId="1" applyNumberFormat="1" applyFont="1" applyAlignment="1" applyProtection="1">
      <alignment horizontal="right"/>
      <protection hidden="1"/>
    </xf>
    <xf numFmtId="2" fontId="25" fillId="0" borderId="0" xfId="1" applyNumberFormat="1" applyFont="1" applyAlignment="1" applyProtection="1">
      <alignment horizontal="right"/>
      <protection hidden="1"/>
    </xf>
    <xf numFmtId="0" fontId="25" fillId="0" borderId="50" xfId="1" applyFont="1" applyBorder="1" applyAlignment="1" applyProtection="1">
      <alignment horizontal="right"/>
      <protection hidden="1"/>
    </xf>
    <xf numFmtId="0" fontId="25" fillId="0" borderId="45" xfId="1" applyFont="1" applyBorder="1" applyProtection="1">
      <protection hidden="1"/>
    </xf>
    <xf numFmtId="0" fontId="25" fillId="0" borderId="53" xfId="1" applyFont="1" applyBorder="1" applyAlignment="1" applyProtection="1">
      <alignment horizontal="left"/>
      <protection hidden="1"/>
    </xf>
    <xf numFmtId="0" fontId="25" fillId="0" borderId="54" xfId="1" applyFont="1" applyBorder="1" applyAlignment="1" applyProtection="1">
      <alignment horizontal="left"/>
      <protection hidden="1"/>
    </xf>
    <xf numFmtId="0" fontId="25" fillId="0" borderId="48" xfId="1" applyFont="1" applyBorder="1" applyAlignment="1" applyProtection="1">
      <alignment horizontal="left"/>
      <protection hidden="1"/>
    </xf>
    <xf numFmtId="0" fontId="26" fillId="0" borderId="0" xfId="1" applyFont="1" applyProtection="1">
      <protection hidden="1"/>
    </xf>
    <xf numFmtId="3" fontId="25" fillId="0" borderId="0" xfId="1" applyNumberFormat="1" applyFont="1" applyAlignment="1" applyProtection="1">
      <alignment horizontal="center"/>
      <protection hidden="1"/>
    </xf>
    <xf numFmtId="2" fontId="25" fillId="0" borderId="0" xfId="1" applyNumberFormat="1" applyFont="1" applyAlignment="1" applyProtection="1">
      <alignment horizontal="center" vertical="center"/>
      <protection hidden="1"/>
    </xf>
    <xf numFmtId="2" fontId="25" fillId="0" borderId="0" xfId="1" applyNumberFormat="1" applyFont="1" applyAlignment="1" applyProtection="1">
      <alignment vertical="center"/>
      <protection hidden="1"/>
    </xf>
    <xf numFmtId="4" fontId="25" fillId="0" borderId="0" xfId="1" applyNumberFormat="1" applyFont="1" applyAlignment="1" applyProtection="1">
      <alignment vertical="center"/>
      <protection hidden="1"/>
    </xf>
    <xf numFmtId="3" fontId="25" fillId="0" borderId="0" xfId="1" applyNumberFormat="1" applyFont="1" applyAlignment="1" applyProtection="1">
      <alignment horizontal="right"/>
      <protection hidden="1"/>
    </xf>
    <xf numFmtId="2" fontId="25" fillId="0" borderId="0" xfId="1" applyNumberFormat="1" applyFont="1" applyAlignment="1" applyProtection="1">
      <alignment horizontal="right" vertical="center"/>
      <protection hidden="1"/>
    </xf>
    <xf numFmtId="0" fontId="27" fillId="0" borderId="0" xfId="1" applyFont="1" applyAlignment="1" applyProtection="1">
      <alignment horizontal="center"/>
      <protection hidden="1"/>
    </xf>
    <xf numFmtId="2" fontId="25" fillId="0" borderId="55" xfId="1" applyNumberFormat="1" applyFont="1" applyBorder="1" applyAlignment="1" applyProtection="1">
      <alignment horizontal="right"/>
      <protection hidden="1"/>
    </xf>
    <xf numFmtId="0" fontId="25" fillId="0" borderId="56" xfId="1" applyFont="1" applyBorder="1" applyProtection="1">
      <protection hidden="1"/>
    </xf>
    <xf numFmtId="0" fontId="25" fillId="0" borderId="57" xfId="1" applyFont="1" applyBorder="1" applyAlignment="1" applyProtection="1">
      <alignment horizontal="left"/>
      <protection hidden="1"/>
    </xf>
    <xf numFmtId="0" fontId="27" fillId="0" borderId="38" xfId="1" applyFont="1" applyBorder="1" applyAlignment="1" applyProtection="1">
      <alignment horizontal="right" vertical="center" wrapText="1"/>
      <protection hidden="1"/>
    </xf>
    <xf numFmtId="2" fontId="25" fillId="0" borderId="38" xfId="1" applyNumberFormat="1" applyFont="1" applyBorder="1" applyAlignment="1" applyProtection="1">
      <alignment vertical="center"/>
      <protection hidden="1"/>
    </xf>
    <xf numFmtId="2" fontId="25" fillId="0" borderId="38" xfId="1" applyNumberFormat="1" applyFont="1" applyBorder="1" applyAlignment="1" applyProtection="1">
      <alignment horizontal="center" vertical="center"/>
      <protection hidden="1"/>
    </xf>
    <xf numFmtId="4" fontId="25" fillId="0" borderId="38" xfId="1" applyNumberFormat="1" applyFont="1" applyBorder="1" applyAlignment="1" applyProtection="1">
      <alignment vertical="center"/>
      <protection hidden="1"/>
    </xf>
    <xf numFmtId="0" fontId="25" fillId="0" borderId="58" xfId="1" applyFont="1" applyBorder="1" applyProtection="1">
      <protection hidden="1"/>
    </xf>
    <xf numFmtId="0" fontId="25" fillId="0" borderId="59" xfId="1" applyFont="1" applyBorder="1" applyProtection="1">
      <protection hidden="1"/>
    </xf>
    <xf numFmtId="0" fontId="25" fillId="0" borderId="60" xfId="1" applyFont="1" applyBorder="1" applyProtection="1">
      <protection hidden="1"/>
    </xf>
    <xf numFmtId="4" fontId="25" fillId="0" borderId="0" xfId="1" applyNumberFormat="1" applyFont="1" applyAlignment="1" applyProtection="1">
      <alignment horizontal="right" vertical="center"/>
      <protection hidden="1"/>
    </xf>
    <xf numFmtId="4" fontId="25" fillId="0" borderId="55" xfId="1" applyNumberFormat="1" applyFont="1" applyBorder="1" applyAlignment="1" applyProtection="1">
      <alignment horizontal="right" vertical="center"/>
      <protection hidden="1"/>
    </xf>
    <xf numFmtId="1" fontId="25" fillId="0" borderId="0" xfId="1" applyNumberFormat="1" applyFont="1" applyAlignment="1" applyProtection="1">
      <alignment vertical="center"/>
      <protection hidden="1"/>
    </xf>
    <xf numFmtId="0" fontId="25" fillId="0" borderId="0" xfId="1" applyFont="1" applyAlignment="1" applyProtection="1">
      <alignment horizontal="center" vertical="center"/>
      <protection hidden="1"/>
    </xf>
    <xf numFmtId="0" fontId="25" fillId="0" borderId="0" xfId="1" applyFont="1" applyAlignment="1" applyProtection="1">
      <alignment vertical="center"/>
      <protection hidden="1"/>
    </xf>
    <xf numFmtId="0" fontId="27" fillId="0" borderId="0" xfId="1" applyFont="1" applyAlignment="1" applyProtection="1">
      <alignment horizontal="right"/>
      <protection hidden="1"/>
    </xf>
    <xf numFmtId="1" fontId="25" fillId="0" borderId="0" xfId="1" applyNumberFormat="1" applyFont="1" applyAlignment="1" applyProtection="1">
      <alignment horizontal="right" vertical="center"/>
      <protection hidden="1"/>
    </xf>
    <xf numFmtId="2" fontId="25" fillId="0" borderId="38" xfId="1" applyNumberFormat="1" applyFont="1" applyBorder="1" applyAlignment="1" applyProtection="1">
      <alignment horizontal="right" vertical="center"/>
      <protection hidden="1"/>
    </xf>
    <xf numFmtId="4" fontId="25" fillId="0" borderId="38" xfId="1" applyNumberFormat="1" applyFont="1" applyBorder="1" applyAlignment="1" applyProtection="1">
      <alignment horizontal="right" vertical="center"/>
      <protection hidden="1"/>
    </xf>
    <xf numFmtId="0" fontId="14" fillId="0" borderId="0" xfId="1" applyFont="1" applyAlignment="1" applyProtection="1">
      <alignment horizontal="right"/>
      <protection hidden="1"/>
    </xf>
    <xf numFmtId="0" fontId="25" fillId="0" borderId="61" xfId="1" applyFont="1" applyBorder="1" applyProtection="1">
      <protection hidden="1"/>
    </xf>
    <xf numFmtId="0" fontId="25" fillId="0" borderId="57" xfId="1" applyFont="1" applyBorder="1" applyProtection="1">
      <protection hidden="1"/>
    </xf>
    <xf numFmtId="0" fontId="14" fillId="0" borderId="38" xfId="1" applyFont="1" applyBorder="1" applyProtection="1">
      <protection hidden="1"/>
    </xf>
    <xf numFmtId="0" fontId="14" fillId="0" borderId="48" xfId="1" applyFont="1" applyBorder="1" applyProtection="1">
      <protection hidden="1"/>
    </xf>
    <xf numFmtId="0" fontId="27" fillId="0" borderId="38" xfId="1" applyFont="1" applyBorder="1" applyAlignment="1" applyProtection="1">
      <alignment horizontal="right" wrapText="1"/>
      <protection hidden="1"/>
    </xf>
    <xf numFmtId="0" fontId="25" fillId="0" borderId="48" xfId="1" applyFont="1" applyBorder="1" applyAlignment="1" applyProtection="1">
      <alignment vertical="center"/>
      <protection hidden="1"/>
    </xf>
    <xf numFmtId="1" fontId="25" fillId="0" borderId="38" xfId="1" applyNumberFormat="1" applyFont="1" applyBorder="1" applyAlignment="1" applyProtection="1">
      <alignment horizontal="right" vertical="center"/>
      <protection hidden="1"/>
    </xf>
    <xf numFmtId="1" fontId="25" fillId="0" borderId="38" xfId="1" applyNumberFormat="1" applyFont="1" applyBorder="1" applyAlignment="1" applyProtection="1">
      <alignment vertical="center"/>
      <protection hidden="1"/>
    </xf>
    <xf numFmtId="2" fontId="25" fillId="0" borderId="38" xfId="1" applyNumberFormat="1" applyFont="1" applyBorder="1" applyProtection="1">
      <protection hidden="1"/>
    </xf>
    <xf numFmtId="0" fontId="25" fillId="0" borderId="38" xfId="1" applyFont="1" applyBorder="1" applyAlignment="1" applyProtection="1">
      <alignment horizontal="left"/>
      <protection hidden="1"/>
    </xf>
    <xf numFmtId="0" fontId="26" fillId="0" borderId="38" xfId="1" applyFont="1" applyBorder="1" applyAlignment="1" applyProtection="1">
      <alignment horizontal="center"/>
      <protection hidden="1"/>
    </xf>
    <xf numFmtId="1" fontId="25" fillId="0" borderId="0" xfId="1" applyNumberFormat="1" applyFont="1" applyAlignment="1" applyProtection="1">
      <alignment horizontal="right"/>
      <protection hidden="1"/>
    </xf>
    <xf numFmtId="0" fontId="27" fillId="0" borderId="0" xfId="1" applyFont="1" applyAlignment="1" applyProtection="1">
      <alignment horizontal="right" vertical="top"/>
      <protection hidden="1"/>
    </xf>
    <xf numFmtId="0" fontId="27" fillId="0" borderId="38" xfId="1" applyFont="1" applyBorder="1" applyAlignment="1" applyProtection="1">
      <alignment horizontal="right" vertical="top" wrapText="1"/>
      <protection hidden="1"/>
    </xf>
    <xf numFmtId="2" fontId="25" fillId="0" borderId="55" xfId="1" applyNumberFormat="1" applyFont="1" applyBorder="1" applyAlignment="1" applyProtection="1">
      <alignment horizontal="center" vertical="center"/>
      <protection hidden="1"/>
    </xf>
    <xf numFmtId="1" fontId="25" fillId="0" borderId="0" xfId="1" applyNumberFormat="1" applyFont="1" applyAlignment="1" applyProtection="1">
      <alignment horizontal="center"/>
      <protection hidden="1"/>
    </xf>
    <xf numFmtId="2" fontId="25" fillId="0" borderId="0" xfId="1" applyNumberFormat="1" applyFont="1" applyProtection="1">
      <protection hidden="1"/>
    </xf>
    <xf numFmtId="0" fontId="26" fillId="0" borderId="0" xfId="1" applyFont="1" applyAlignment="1" applyProtection="1">
      <alignment horizontal="right"/>
      <protection hidden="1"/>
    </xf>
    <xf numFmtId="172" fontId="25" fillId="0" borderId="0" xfId="1" applyNumberFormat="1" applyFont="1" applyAlignment="1" applyProtection="1">
      <alignment horizontal="right"/>
      <protection hidden="1"/>
    </xf>
    <xf numFmtId="172" fontId="25" fillId="0" borderId="38" xfId="1" applyNumberFormat="1" applyFont="1" applyBorder="1" applyProtection="1">
      <protection hidden="1"/>
    </xf>
    <xf numFmtId="1" fontId="25" fillId="0" borderId="38" xfId="1" applyNumberFormat="1" applyFont="1" applyBorder="1" applyAlignment="1" applyProtection="1">
      <alignment horizontal="center"/>
      <protection hidden="1"/>
    </xf>
    <xf numFmtId="2" fontId="25" fillId="0" borderId="38" xfId="1" applyNumberFormat="1" applyFont="1" applyBorder="1" applyAlignment="1" applyProtection="1">
      <alignment horizontal="center"/>
      <protection hidden="1"/>
    </xf>
    <xf numFmtId="1" fontId="25" fillId="0" borderId="48" xfId="1" applyNumberFormat="1" applyFont="1" applyBorder="1" applyAlignment="1" applyProtection="1">
      <alignment vertical="center"/>
      <protection hidden="1"/>
    </xf>
    <xf numFmtId="3" fontId="25" fillId="0" borderId="0" xfId="1" applyNumberFormat="1" applyFont="1" applyAlignment="1" applyProtection="1">
      <alignment horizontal="right" vertical="center"/>
      <protection hidden="1"/>
    </xf>
    <xf numFmtId="3" fontId="25" fillId="0" borderId="38" xfId="1" applyNumberFormat="1" applyFont="1" applyBorder="1" applyAlignment="1" applyProtection="1">
      <alignment horizontal="right" vertical="center"/>
      <protection hidden="1"/>
    </xf>
    <xf numFmtId="2" fontId="25" fillId="0" borderId="38" xfId="1" applyNumberFormat="1" applyFont="1" applyBorder="1" applyAlignment="1" applyProtection="1">
      <alignment horizontal="right"/>
      <protection hidden="1"/>
    </xf>
    <xf numFmtId="0" fontId="25" fillId="0" borderId="38" xfId="1" applyFont="1" applyBorder="1" applyAlignment="1" applyProtection="1">
      <alignment horizontal="right"/>
      <protection hidden="1"/>
    </xf>
    <xf numFmtId="0" fontId="14" fillId="10" borderId="0" xfId="1" applyFont="1" applyFill="1" applyProtection="1">
      <protection hidden="1"/>
    </xf>
    <xf numFmtId="0" fontId="25" fillId="10" borderId="0" xfId="1" applyFont="1" applyFill="1" applyProtection="1">
      <protection hidden="1"/>
    </xf>
    <xf numFmtId="0" fontId="14" fillId="10" borderId="0" xfId="1" applyFont="1" applyFill="1"/>
    <xf numFmtId="0" fontId="25" fillId="10" borderId="0" xfId="1" applyFont="1" applyFill="1"/>
    <xf numFmtId="14" fontId="0" fillId="0" borderId="0" xfId="0" applyNumberFormat="1" applyAlignment="1" applyProtection="1">
      <alignment horizontal="center"/>
      <protection hidden="1"/>
    </xf>
    <xf numFmtId="0" fontId="0" fillId="0" borderId="50" xfId="0" applyBorder="1"/>
    <xf numFmtId="0" fontId="28" fillId="0" borderId="13" xfId="0" applyFont="1" applyBorder="1" applyProtection="1">
      <protection hidden="1"/>
    </xf>
    <xf numFmtId="0" fontId="0" fillId="0" borderId="13" xfId="0" applyBorder="1"/>
    <xf numFmtId="0" fontId="7" fillId="10" borderId="0" xfId="0" applyFont="1" applyFill="1" applyProtection="1">
      <protection hidden="1"/>
    </xf>
    <xf numFmtId="0" fontId="0" fillId="10" borderId="16" xfId="0" applyFill="1" applyBorder="1" applyProtection="1">
      <protection hidden="1"/>
    </xf>
    <xf numFmtId="0" fontId="0" fillId="0" borderId="18" xfId="0" applyBorder="1"/>
    <xf numFmtId="14" fontId="0" fillId="0" borderId="48" xfId="0" applyNumberFormat="1" applyBorder="1" applyAlignment="1" applyProtection="1">
      <alignment horizontal="center"/>
      <protection hidden="1"/>
    </xf>
    <xf numFmtId="0" fontId="0" fillId="0" borderId="48" xfId="0" applyBorder="1"/>
    <xf numFmtId="0" fontId="0" fillId="0" borderId="38" xfId="0" applyBorder="1"/>
    <xf numFmtId="0" fontId="0" fillId="0" borderId="49" xfId="0" applyBorder="1"/>
    <xf numFmtId="0" fontId="0" fillId="0" borderId="62" xfId="0" applyBorder="1"/>
    <xf numFmtId="0" fontId="0" fillId="0" borderId="51" xfId="0" applyBorder="1"/>
    <xf numFmtId="0" fontId="8" fillId="0" borderId="63" xfId="0" applyFont="1" applyBorder="1" applyAlignment="1" applyProtection="1">
      <alignment horizontal="center"/>
      <protection hidden="1"/>
    </xf>
    <xf numFmtId="0" fontId="8" fillId="0" borderId="64" xfId="0" applyFont="1" applyBorder="1" applyAlignment="1" applyProtection="1">
      <alignment horizontal="left" wrapText="1"/>
      <protection hidden="1"/>
    </xf>
    <xf numFmtId="0" fontId="8" fillId="0" borderId="65" xfId="0" applyFont="1" applyBorder="1" applyAlignment="1" applyProtection="1">
      <alignment horizontal="center"/>
      <protection hidden="1"/>
    </xf>
    <xf numFmtId="0" fontId="8" fillId="0" borderId="65" xfId="0" applyFont="1" applyBorder="1" applyAlignment="1" applyProtection="1">
      <alignment wrapText="1"/>
      <protection hidden="1"/>
    </xf>
    <xf numFmtId="0" fontId="8" fillId="0" borderId="65" xfId="0" applyFont="1" applyBorder="1" applyProtection="1">
      <protection hidden="1"/>
    </xf>
    <xf numFmtId="0" fontId="8" fillId="0" borderId="66" xfId="0" applyFont="1" applyBorder="1"/>
    <xf numFmtId="0" fontId="11" fillId="10" borderId="0" xfId="0" applyFont="1" applyFill="1" applyAlignment="1">
      <alignment wrapText="1"/>
    </xf>
    <xf numFmtId="0" fontId="19" fillId="0" borderId="0" xfId="0" applyFont="1" applyAlignment="1">
      <alignment wrapText="1"/>
    </xf>
    <xf numFmtId="0" fontId="30" fillId="0" borderId="0" xfId="0" applyFont="1" applyProtection="1">
      <protection hidden="1"/>
    </xf>
    <xf numFmtId="0" fontId="31" fillId="10" borderId="0" xfId="0" applyFont="1" applyFill="1" applyProtection="1">
      <protection hidden="1"/>
    </xf>
    <xf numFmtId="0" fontId="31" fillId="0" borderId="0" xfId="0" applyFont="1" applyProtection="1">
      <protection hidden="1"/>
    </xf>
    <xf numFmtId="0" fontId="33" fillId="0" borderId="0" xfId="0" applyFont="1" applyProtection="1">
      <protection hidden="1"/>
    </xf>
    <xf numFmtId="0" fontId="30" fillId="0" borderId="0" xfId="0" applyFont="1"/>
    <xf numFmtId="0" fontId="4" fillId="10" borderId="67" xfId="0" applyFont="1" applyFill="1" applyBorder="1" applyAlignment="1" applyProtection="1">
      <alignment wrapText="1"/>
      <protection hidden="1"/>
    </xf>
    <xf numFmtId="0" fontId="4" fillId="10" borderId="68" xfId="0" applyFont="1" applyFill="1" applyBorder="1" applyAlignment="1" applyProtection="1">
      <alignment horizontal="center"/>
      <protection hidden="1"/>
    </xf>
    <xf numFmtId="0" fontId="4" fillId="10" borderId="68" xfId="0" applyFont="1" applyFill="1" applyBorder="1" applyAlignment="1" applyProtection="1">
      <alignment horizontal="right"/>
      <protection hidden="1"/>
    </xf>
    <xf numFmtId="0" fontId="34" fillId="0" borderId="13" xfId="0" applyFont="1" applyBorder="1" applyAlignment="1" applyProtection="1">
      <alignment vertical="center" wrapText="1"/>
      <protection hidden="1"/>
    </xf>
    <xf numFmtId="166" fontId="6" fillId="0" borderId="18" xfId="0" applyNumberFormat="1" applyFont="1" applyBorder="1" applyAlignment="1" applyProtection="1">
      <alignment horizontal="right"/>
      <protection hidden="1"/>
    </xf>
    <xf numFmtId="165" fontId="0" fillId="0" borderId="0" xfId="0" applyNumberFormat="1" applyAlignment="1" applyProtection="1">
      <alignment horizontal="right"/>
      <protection hidden="1"/>
    </xf>
    <xf numFmtId="167" fontId="0" fillId="0" borderId="18" xfId="0" applyNumberFormat="1" applyBorder="1" applyAlignment="1" applyProtection="1">
      <alignment horizontal="right"/>
      <protection hidden="1"/>
    </xf>
    <xf numFmtId="165" fontId="0" fillId="0" borderId="21" xfId="0" applyNumberFormat="1" applyBorder="1" applyAlignment="1" applyProtection="1">
      <alignment horizontal="right"/>
      <protection hidden="1"/>
    </xf>
    <xf numFmtId="166" fontId="0" fillId="0" borderId="21" xfId="0" applyNumberFormat="1" applyBorder="1" applyAlignment="1" applyProtection="1">
      <alignment horizontal="right"/>
      <protection hidden="1"/>
    </xf>
    <xf numFmtId="166" fontId="0" fillId="0" borderId="31" xfId="0" applyNumberFormat="1" applyBorder="1" applyAlignment="1" applyProtection="1">
      <alignment horizontal="right"/>
      <protection hidden="1"/>
    </xf>
    <xf numFmtId="165" fontId="0" fillId="0" borderId="18" xfId="0" applyNumberFormat="1" applyBorder="1" applyAlignment="1" applyProtection="1">
      <alignment horizontal="right"/>
      <protection hidden="1"/>
    </xf>
    <xf numFmtId="165" fontId="0" fillId="0" borderId="23" xfId="0" applyNumberFormat="1" applyBorder="1" applyAlignment="1" applyProtection="1">
      <alignment horizontal="right"/>
      <protection hidden="1"/>
    </xf>
    <xf numFmtId="165" fontId="0" fillId="0" borderId="24" xfId="0" applyNumberFormat="1" applyBorder="1" applyAlignment="1" applyProtection="1">
      <alignment horizontal="right"/>
      <protection hidden="1"/>
    </xf>
    <xf numFmtId="165" fontId="0" fillId="0" borderId="30" xfId="0" applyNumberFormat="1" applyBorder="1" applyAlignment="1" applyProtection="1">
      <alignment horizontal="right"/>
      <protection hidden="1"/>
    </xf>
    <xf numFmtId="166" fontId="0" fillId="0" borderId="30" xfId="0" applyNumberFormat="1" applyBorder="1" applyAlignment="1" applyProtection="1">
      <alignment horizontal="right"/>
      <protection hidden="1"/>
    </xf>
    <xf numFmtId="166" fontId="0" fillId="0" borderId="33" xfId="0" applyNumberFormat="1" applyBorder="1" applyAlignment="1" applyProtection="1">
      <alignment horizontal="right"/>
      <protection hidden="1"/>
    </xf>
    <xf numFmtId="0" fontId="22" fillId="10" borderId="70" xfId="0" applyFont="1" applyFill="1" applyBorder="1" applyAlignment="1" applyProtection="1">
      <alignment horizontal="center" wrapText="1"/>
      <protection hidden="1"/>
    </xf>
    <xf numFmtId="0" fontId="10" fillId="9" borderId="13" xfId="0" applyFont="1" applyFill="1" applyBorder="1" applyProtection="1">
      <protection hidden="1"/>
    </xf>
    <xf numFmtId="173" fontId="9" fillId="9" borderId="13" xfId="0" applyNumberFormat="1" applyFont="1" applyFill="1" applyBorder="1" applyAlignment="1" applyProtection="1">
      <alignment horizontal="center"/>
      <protection hidden="1"/>
    </xf>
    <xf numFmtId="4" fontId="9" fillId="9" borderId="13" xfId="0" applyNumberFormat="1" applyFont="1" applyFill="1" applyBorder="1" applyAlignment="1" applyProtection="1">
      <alignment horizontal="center"/>
      <protection hidden="1"/>
    </xf>
    <xf numFmtId="0" fontId="10" fillId="9" borderId="71" xfId="0" applyFont="1" applyFill="1" applyBorder="1" applyProtection="1">
      <protection hidden="1"/>
    </xf>
    <xf numFmtId="9" fontId="9" fillId="9" borderId="69" xfId="0" applyNumberFormat="1" applyFont="1" applyFill="1" applyBorder="1" applyAlignment="1" applyProtection="1">
      <alignment horizontal="center" wrapText="1"/>
      <protection hidden="1"/>
    </xf>
    <xf numFmtId="4" fontId="9" fillId="9" borderId="69" xfId="0" applyNumberFormat="1" applyFont="1" applyFill="1" applyBorder="1" applyAlignment="1" applyProtection="1">
      <alignment horizontal="center" wrapText="1"/>
      <protection hidden="1"/>
    </xf>
    <xf numFmtId="0" fontId="11" fillId="9" borderId="6" xfId="0" applyFont="1" applyFill="1" applyBorder="1" applyProtection="1">
      <protection hidden="1"/>
    </xf>
    <xf numFmtId="173" fontId="3" fillId="9" borderId="6" xfId="0" applyNumberFormat="1" applyFont="1" applyFill="1" applyBorder="1" applyAlignment="1" applyProtection="1">
      <alignment horizontal="center"/>
      <protection hidden="1"/>
    </xf>
    <xf numFmtId="4" fontId="23" fillId="9" borderId="6" xfId="2" applyNumberFormat="1" applyFont="1" applyFill="1" applyBorder="1" applyProtection="1">
      <protection hidden="1"/>
    </xf>
    <xf numFmtId="173" fontId="3" fillId="9" borderId="9" xfId="0" applyNumberFormat="1" applyFont="1" applyFill="1" applyBorder="1" applyAlignment="1" applyProtection="1">
      <alignment horizontal="center"/>
      <protection hidden="1"/>
    </xf>
    <xf numFmtId="0" fontId="11" fillId="9" borderId="8" xfId="0" applyFont="1" applyFill="1" applyBorder="1" applyProtection="1">
      <protection hidden="1"/>
    </xf>
    <xf numFmtId="173" fontId="3" fillId="9" borderId="8" xfId="0" applyNumberFormat="1" applyFont="1" applyFill="1" applyBorder="1" applyAlignment="1" applyProtection="1">
      <alignment horizontal="center"/>
      <protection hidden="1"/>
    </xf>
    <xf numFmtId="4" fontId="23" fillId="9" borderId="8" xfId="2" applyNumberFormat="1" applyFont="1" applyFill="1" applyBorder="1" applyProtection="1">
      <protection hidden="1"/>
    </xf>
    <xf numFmtId="4" fontId="23" fillId="9" borderId="2" xfId="2" applyNumberFormat="1" applyFont="1" applyFill="1" applyBorder="1" applyProtection="1">
      <protection hidden="1"/>
    </xf>
    <xf numFmtId="173" fontId="3" fillId="9" borderId="2" xfId="0" applyNumberFormat="1" applyFont="1" applyFill="1" applyBorder="1" applyAlignment="1" applyProtection="1">
      <alignment horizontal="center"/>
      <protection hidden="1"/>
    </xf>
    <xf numFmtId="0" fontId="0" fillId="9" borderId="6" xfId="0" applyFill="1" applyBorder="1" applyProtection="1">
      <protection hidden="1"/>
    </xf>
    <xf numFmtId="0" fontId="11" fillId="9" borderId="5" xfId="0" applyFont="1" applyFill="1" applyBorder="1" applyProtection="1">
      <protection hidden="1"/>
    </xf>
    <xf numFmtId="173" fontId="3" fillId="9" borderId="5" xfId="0" applyNumberFormat="1" applyFont="1" applyFill="1" applyBorder="1" applyAlignment="1" applyProtection="1">
      <alignment horizontal="center"/>
      <protection hidden="1"/>
    </xf>
    <xf numFmtId="4" fontId="23" fillId="9" borderId="5" xfId="2" applyNumberFormat="1" applyFont="1" applyFill="1" applyBorder="1" applyProtection="1">
      <protection hidden="1"/>
    </xf>
    <xf numFmtId="4" fontId="9" fillId="9" borderId="8" xfId="2" applyNumberFormat="1" applyFont="1" applyFill="1" applyBorder="1" applyProtection="1">
      <protection hidden="1"/>
    </xf>
    <xf numFmtId="173" fontId="0" fillId="9" borderId="0" xfId="0" applyNumberFormat="1" applyFill="1" applyAlignment="1" applyProtection="1">
      <alignment horizontal="center"/>
      <protection hidden="1"/>
    </xf>
    <xf numFmtId="4" fontId="0" fillId="9" borderId="0" xfId="0" applyNumberFormat="1" applyFill="1" applyProtection="1">
      <protection hidden="1"/>
    </xf>
    <xf numFmtId="0" fontId="0" fillId="9" borderId="0" xfId="0" applyFill="1"/>
    <xf numFmtId="173" fontId="0" fillId="9" borderId="0" xfId="0" applyNumberFormat="1" applyFill="1" applyAlignment="1">
      <alignment horizontal="center"/>
    </xf>
    <xf numFmtId="4" fontId="0" fillId="9" borderId="0" xfId="0" applyNumberFormat="1" applyFill="1"/>
    <xf numFmtId="0" fontId="0" fillId="9" borderId="13" xfId="0" applyFill="1" applyBorder="1" applyProtection="1">
      <protection hidden="1"/>
    </xf>
    <xf numFmtId="0" fontId="6" fillId="9" borderId="17" xfId="0" applyFont="1" applyFill="1" applyBorder="1" applyProtection="1">
      <protection hidden="1"/>
    </xf>
    <xf numFmtId="0" fontId="6" fillId="9" borderId="20" xfId="0" applyFont="1" applyFill="1" applyBorder="1" applyAlignment="1" applyProtection="1">
      <alignment horizontal="left"/>
      <protection hidden="1"/>
    </xf>
    <xf numFmtId="0" fontId="6" fillId="9" borderId="20" xfId="0" applyFont="1" applyFill="1" applyBorder="1" applyProtection="1">
      <protection hidden="1"/>
    </xf>
    <xf numFmtId="0" fontId="0" fillId="9" borderId="18" xfId="0" applyFill="1" applyBorder="1" applyAlignment="1" applyProtection="1">
      <alignment horizontal="left"/>
      <protection hidden="1"/>
    </xf>
    <xf numFmtId="0" fontId="0" fillId="9" borderId="21" xfId="0" applyFill="1" applyBorder="1" applyAlignment="1" applyProtection="1">
      <alignment horizontal="left"/>
      <protection hidden="1"/>
    </xf>
    <xf numFmtId="0" fontId="0" fillId="9" borderId="21" xfId="0" applyFill="1" applyBorder="1" applyProtection="1">
      <protection hidden="1"/>
    </xf>
    <xf numFmtId="0" fontId="11" fillId="9" borderId="18" xfId="0" applyFont="1" applyFill="1" applyBorder="1" applyAlignment="1" applyProtection="1">
      <alignment horizontal="left"/>
      <protection hidden="1"/>
    </xf>
    <xf numFmtId="0" fontId="11" fillId="9" borderId="21" xfId="0" applyFont="1" applyFill="1" applyBorder="1" applyAlignment="1" applyProtection="1">
      <alignment horizontal="left"/>
      <protection hidden="1"/>
    </xf>
    <xf numFmtId="0" fontId="11" fillId="9" borderId="21" xfId="0" applyFont="1" applyFill="1" applyBorder="1" applyProtection="1">
      <protection hidden="1"/>
    </xf>
    <xf numFmtId="0" fontId="11" fillId="9" borderId="19" xfId="0" applyFont="1" applyFill="1" applyBorder="1" applyAlignment="1" applyProtection="1">
      <alignment horizontal="left"/>
      <protection hidden="1"/>
    </xf>
    <xf numFmtId="0" fontId="11" fillId="9" borderId="22" xfId="0" applyFont="1" applyFill="1" applyBorder="1" applyAlignment="1" applyProtection="1">
      <alignment horizontal="left"/>
      <protection hidden="1"/>
    </xf>
    <xf numFmtId="0" fontId="11" fillId="9" borderId="22" xfId="0" applyFont="1" applyFill="1" applyBorder="1" applyProtection="1">
      <protection hidden="1"/>
    </xf>
    <xf numFmtId="0" fontId="11" fillId="9" borderId="39" xfId="0" applyFont="1" applyFill="1" applyBorder="1" applyProtection="1">
      <protection hidden="1"/>
    </xf>
    <xf numFmtId="0" fontId="0" fillId="9" borderId="18" xfId="0" applyFill="1" applyBorder="1" applyProtection="1">
      <protection hidden="1"/>
    </xf>
    <xf numFmtId="0" fontId="11" fillId="9" borderId="14" xfId="0" applyFont="1" applyFill="1" applyBorder="1" applyProtection="1">
      <protection hidden="1"/>
    </xf>
    <xf numFmtId="0" fontId="11" fillId="9" borderId="18" xfId="0" applyFont="1" applyFill="1" applyBorder="1" applyProtection="1">
      <protection hidden="1"/>
    </xf>
    <xf numFmtId="0" fontId="11" fillId="9" borderId="15" xfId="0" applyFont="1" applyFill="1" applyBorder="1" applyProtection="1">
      <protection hidden="1"/>
    </xf>
    <xf numFmtId="0" fontId="11" fillId="9" borderId="19" xfId="0" applyFont="1" applyFill="1" applyBorder="1" applyProtection="1">
      <protection hidden="1"/>
    </xf>
    <xf numFmtId="0" fontId="0" fillId="9" borderId="22" xfId="0" applyFill="1" applyBorder="1" applyProtection="1">
      <protection hidden="1"/>
    </xf>
    <xf numFmtId="0" fontId="0" fillId="9" borderId="14" xfId="0" applyFill="1" applyBorder="1" applyProtection="1">
      <protection hidden="1"/>
    </xf>
    <xf numFmtId="0" fontId="0" fillId="9" borderId="19" xfId="0" applyFill="1" applyBorder="1" applyProtection="1">
      <protection hidden="1"/>
    </xf>
    <xf numFmtId="0" fontId="0" fillId="9" borderId="37" xfId="0" applyFill="1" applyBorder="1" applyProtection="1">
      <protection hidden="1"/>
    </xf>
    <xf numFmtId="0" fontId="0" fillId="9" borderId="24" xfId="0" applyFill="1" applyBorder="1" applyProtection="1">
      <protection hidden="1"/>
    </xf>
    <xf numFmtId="0" fontId="0" fillId="9" borderId="30" xfId="0" applyFill="1" applyBorder="1" applyProtection="1">
      <protection hidden="1"/>
    </xf>
    <xf numFmtId="0" fontId="6" fillId="9" borderId="0" xfId="0" applyFont="1" applyFill="1" applyProtection="1">
      <protection hidden="1"/>
    </xf>
    <xf numFmtId="0" fontId="11" fillId="9" borderId="25" xfId="0" applyFont="1" applyFill="1" applyBorder="1" applyProtection="1">
      <protection hidden="1"/>
    </xf>
    <xf numFmtId="0" fontId="19" fillId="10" borderId="0" xfId="0" applyFont="1" applyFill="1" applyAlignment="1">
      <alignment wrapText="1"/>
    </xf>
    <xf numFmtId="0" fontId="29" fillId="10" borderId="0" xfId="0" applyFont="1" applyFill="1" applyAlignment="1">
      <alignment wrapText="1"/>
    </xf>
    <xf numFmtId="165" fontId="11" fillId="0" borderId="18" xfId="0" applyNumberFormat="1" applyFont="1" applyBorder="1" applyAlignment="1" applyProtection="1">
      <alignment horizontal="right"/>
      <protection hidden="1"/>
    </xf>
    <xf numFmtId="165" fontId="11" fillId="0" borderId="0" xfId="0" applyNumberFormat="1" applyFont="1" applyAlignment="1" applyProtection="1">
      <alignment horizontal="right" vertical="top"/>
      <protection hidden="1"/>
    </xf>
    <xf numFmtId="165" fontId="11" fillId="0" borderId="18" xfId="0" applyNumberFormat="1" applyFont="1" applyBorder="1" applyAlignment="1" applyProtection="1">
      <alignment horizontal="right" vertical="top"/>
      <protection hidden="1"/>
    </xf>
    <xf numFmtId="166" fontId="11" fillId="0" borderId="0" xfId="0" applyNumberFormat="1" applyFont="1" applyAlignment="1" applyProtection="1">
      <alignment horizontal="center"/>
      <protection hidden="1"/>
    </xf>
    <xf numFmtId="166" fontId="11" fillId="0" borderId="12" xfId="0" applyNumberFormat="1" applyFont="1" applyBorder="1" applyAlignment="1" applyProtection="1">
      <alignment horizontal="center"/>
      <protection hidden="1"/>
    </xf>
    <xf numFmtId="0" fontId="11" fillId="0" borderId="26" xfId="0" applyFont="1" applyBorder="1" applyProtection="1">
      <protection hidden="1"/>
    </xf>
    <xf numFmtId="166" fontId="11" fillId="0" borderId="27" xfId="0" applyNumberFormat="1" applyFont="1" applyBorder="1" applyAlignment="1" applyProtection="1">
      <alignment horizontal="center"/>
      <protection hidden="1"/>
    </xf>
    <xf numFmtId="166" fontId="11" fillId="0" borderId="0" xfId="0" applyNumberFormat="1" applyFont="1" applyAlignment="1" applyProtection="1">
      <alignment horizontal="left"/>
      <protection hidden="1"/>
    </xf>
    <xf numFmtId="165" fontId="11" fillId="0" borderId="12" xfId="0" applyNumberFormat="1" applyFont="1" applyBorder="1" applyAlignment="1" applyProtection="1">
      <alignment horizontal="center"/>
      <protection hidden="1"/>
    </xf>
    <xf numFmtId="166" fontId="11" fillId="0" borderId="12" xfId="0" applyNumberFormat="1" applyFont="1" applyBorder="1" applyAlignment="1" applyProtection="1">
      <alignment horizontal="left"/>
      <protection hidden="1"/>
    </xf>
    <xf numFmtId="0" fontId="11" fillId="0" borderId="0" xfId="0" applyFont="1" applyAlignment="1" applyProtection="1">
      <alignment horizontal="right" wrapText="1"/>
      <protection hidden="1"/>
    </xf>
    <xf numFmtId="171" fontId="11" fillId="0" borderId="0" xfId="0" applyNumberFormat="1" applyFont="1" applyProtection="1">
      <protection hidden="1"/>
    </xf>
    <xf numFmtId="165" fontId="11" fillId="0" borderId="0" xfId="0" applyNumberFormat="1" applyFont="1" applyProtection="1">
      <protection locked="0"/>
    </xf>
    <xf numFmtId="166" fontId="11" fillId="0" borderId="0" xfId="0" applyNumberFormat="1" applyFont="1" applyProtection="1">
      <protection locked="0"/>
    </xf>
    <xf numFmtId="165" fontId="0" fillId="0" borderId="12" xfId="0" applyNumberFormat="1" applyBorder="1" applyAlignment="1" applyProtection="1">
      <alignment horizontal="right"/>
      <protection hidden="1"/>
    </xf>
    <xf numFmtId="165" fontId="0" fillId="0" borderId="19" xfId="0" applyNumberFormat="1" applyBorder="1" applyAlignment="1" applyProtection="1">
      <alignment horizontal="right"/>
      <protection hidden="1"/>
    </xf>
    <xf numFmtId="165" fontId="0" fillId="0" borderId="22" xfId="0" applyNumberFormat="1" applyBorder="1" applyAlignment="1" applyProtection="1">
      <alignment horizontal="right"/>
      <protection hidden="1"/>
    </xf>
    <xf numFmtId="166" fontId="0" fillId="0" borderId="22" xfId="0" applyNumberFormat="1" applyBorder="1" applyAlignment="1" applyProtection="1">
      <alignment horizontal="right"/>
      <protection hidden="1"/>
    </xf>
    <xf numFmtId="166" fontId="0" fillId="0" borderId="32" xfId="0" applyNumberFormat="1" applyBorder="1" applyAlignment="1" applyProtection="1">
      <alignment horizontal="right"/>
      <protection hidden="1"/>
    </xf>
    <xf numFmtId="0" fontId="25" fillId="0" borderId="72" xfId="1" applyFont="1" applyBorder="1" applyAlignment="1" applyProtection="1">
      <alignment vertical="center"/>
      <protection hidden="1"/>
    </xf>
    <xf numFmtId="0" fontId="14" fillId="10" borderId="50" xfId="1" applyFont="1" applyFill="1" applyBorder="1"/>
    <xf numFmtId="0" fontId="8" fillId="10" borderId="0" xfId="0" applyFont="1" applyFill="1" applyAlignment="1" applyProtection="1">
      <alignment horizontal="center"/>
      <protection hidden="1"/>
    </xf>
    <xf numFmtId="0" fontId="8" fillId="10" borderId="18" xfId="0" applyFont="1" applyFill="1" applyBorder="1" applyAlignment="1" applyProtection="1">
      <alignment horizontal="center"/>
      <protection hidden="1"/>
    </xf>
    <xf numFmtId="0" fontId="3" fillId="10" borderId="0" xfId="0" applyFont="1" applyFill="1" applyAlignment="1" applyProtection="1">
      <alignment horizontal="center"/>
      <protection hidden="1"/>
    </xf>
    <xf numFmtId="0" fontId="26" fillId="10" borderId="0" xfId="1" applyFont="1" applyFill="1" applyAlignment="1" applyProtection="1">
      <alignment horizontal="center"/>
      <protection hidden="1"/>
    </xf>
    <xf numFmtId="0" fontId="25" fillId="0" borderId="0" xfId="1" applyFont="1" applyAlignment="1" applyProtection="1">
      <alignment horizontal="left" vertical="center"/>
      <protection hidden="1"/>
    </xf>
    <xf numFmtId="1" fontId="25" fillId="0" borderId="0" xfId="1" applyNumberFormat="1" applyFont="1" applyAlignment="1" applyProtection="1">
      <alignment horizontal="left" vertical="center"/>
      <protection hidden="1"/>
    </xf>
    <xf numFmtId="1" fontId="25" fillId="0" borderId="72" xfId="1" applyNumberFormat="1" applyFont="1" applyBorder="1" applyAlignment="1" applyProtection="1">
      <alignment horizontal="left" vertical="center"/>
      <protection hidden="1"/>
    </xf>
    <xf numFmtId="0" fontId="26" fillId="10" borderId="45" xfId="1" applyFont="1" applyFill="1" applyBorder="1" applyAlignment="1" applyProtection="1">
      <alignment horizontal="center"/>
      <protection hidden="1"/>
    </xf>
    <xf numFmtId="0" fontId="26" fillId="10" borderId="46" xfId="1" applyFont="1" applyFill="1" applyBorder="1" applyAlignment="1" applyProtection="1">
      <alignment horizontal="center"/>
      <protection hidden="1"/>
    </xf>
    <xf numFmtId="0" fontId="26" fillId="10" borderId="47" xfId="1" applyFont="1" applyFill="1" applyBorder="1" applyAlignment="1" applyProtection="1">
      <alignment horizontal="center"/>
      <protection hidden="1"/>
    </xf>
    <xf numFmtId="0" fontId="25" fillId="0" borderId="48" xfId="1" applyFont="1" applyBorder="1" applyAlignment="1" applyProtection="1">
      <alignment horizontal="left" vertical="center"/>
      <protection hidden="1"/>
    </xf>
    <xf numFmtId="0" fontId="25" fillId="0" borderId="38" xfId="1" applyFont="1" applyBorder="1" applyAlignment="1" applyProtection="1">
      <alignment horizontal="left" vertical="center"/>
      <protection hidden="1"/>
    </xf>
    <xf numFmtId="2" fontId="25" fillId="0" borderId="38" xfId="1" applyNumberFormat="1" applyFont="1" applyBorder="1" applyProtection="1">
      <protection hidden="1"/>
    </xf>
    <xf numFmtId="0" fontId="25" fillId="0" borderId="53" xfId="1" applyFont="1" applyBorder="1" applyAlignment="1" applyProtection="1">
      <alignment horizontal="left" vertical="center" wrapText="1"/>
      <protection hidden="1"/>
    </xf>
    <xf numFmtId="0" fontId="25" fillId="0" borderId="53" xfId="1" applyFont="1" applyBorder="1" applyAlignment="1" applyProtection="1">
      <alignment horizontal="left" vertical="center"/>
      <protection hidden="1"/>
    </xf>
    <xf numFmtId="2" fontId="25" fillId="0" borderId="0" xfId="1" applyNumberFormat="1" applyFont="1" applyAlignment="1" applyProtection="1">
      <alignment horizontal="center" vertical="center"/>
      <protection hidden="1"/>
    </xf>
    <xf numFmtId="0" fontId="21" fillId="0" borderId="13" xfId="1" applyFont="1" applyBorder="1" applyAlignment="1" applyProtection="1">
      <alignment horizontal="left"/>
      <protection hidden="1"/>
    </xf>
    <xf numFmtId="0" fontId="25" fillId="0" borderId="54" xfId="1" applyFont="1" applyBorder="1" applyAlignment="1" applyProtection="1">
      <alignment horizontal="left" vertical="center"/>
      <protection hidden="1"/>
    </xf>
    <xf numFmtId="2" fontId="25" fillId="0" borderId="0" xfId="1" applyNumberFormat="1" applyFont="1" applyAlignment="1" applyProtection="1">
      <alignment horizontal="right" vertical="center"/>
      <protection hidden="1"/>
    </xf>
    <xf numFmtId="0" fontId="24" fillId="10" borderId="45" xfId="3" applyFont="1" applyFill="1" applyBorder="1" applyAlignment="1" applyProtection="1">
      <alignment horizontal="center" wrapText="1"/>
      <protection hidden="1"/>
    </xf>
    <xf numFmtId="0" fontId="24" fillId="10" borderId="46" xfId="3" applyFont="1" applyFill="1" applyBorder="1" applyAlignment="1" applyProtection="1">
      <alignment horizontal="center"/>
      <protection hidden="1"/>
    </xf>
    <xf numFmtId="0" fontId="24" fillId="10" borderId="47" xfId="3" applyFont="1" applyFill="1" applyBorder="1" applyAlignment="1" applyProtection="1">
      <alignment horizontal="center"/>
      <protection hidden="1"/>
    </xf>
    <xf numFmtId="4" fontId="25" fillId="0" borderId="0" xfId="1" applyNumberFormat="1" applyFont="1" applyAlignment="1" applyProtection="1">
      <alignment horizontal="right" vertical="center"/>
      <protection hidden="1"/>
    </xf>
    <xf numFmtId="0" fontId="34" fillId="0" borderId="13" xfId="0" applyFont="1" applyBorder="1" applyAlignment="1" applyProtection="1">
      <alignment horizontal="left" wrapText="1"/>
      <protection hidden="1"/>
    </xf>
  </cellXfs>
  <cellStyles count="4">
    <cellStyle name="Standard" xfId="0" builtinId="0"/>
    <cellStyle name="Standard 2" xfId="1" xr:uid="{00000000-0005-0000-0000-000001000000}"/>
    <cellStyle name="Standard 2 2" xfId="3" xr:uid="{B73D17F6-3811-474B-9FFF-37736899E8EF}"/>
    <cellStyle name="Standard 3" xfId="2" xr:uid="{BD22DD8E-08CA-404E-B9F1-61BCD4D924EC}"/>
  </cellStyles>
  <dxfs count="0"/>
  <tableStyles count="0" defaultTableStyle="TableStyleMedium9" defaultPivotStyle="PivotStyleLight16"/>
  <colors>
    <mruColors>
      <color rgb="FFBFBCBC"/>
      <color rgb="FF717357"/>
      <color rgb="FF2F30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609601</xdr:rowOff>
    </xdr:from>
    <xdr:to>
      <xdr:col>0</xdr:col>
      <xdr:colOff>923924</xdr:colOff>
      <xdr:row>58</xdr:row>
      <xdr:rowOff>19050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37E1C12C-ED54-45DD-9726-15DBE4DE76BF}"/>
            </a:ext>
          </a:extLst>
        </xdr:cNvPr>
        <xdr:cNvSpPr txBox="1"/>
      </xdr:nvSpPr>
      <xdr:spPr>
        <a:xfrm>
          <a:off x="0" y="609601"/>
          <a:ext cx="923924" cy="15287624"/>
        </a:xfrm>
        <a:prstGeom prst="rect">
          <a:avLst/>
        </a:prstGeom>
        <a:solidFill>
          <a:srgbClr val="717357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  <a:p>
          <a:endParaRPr lang="de-DE" sz="1100"/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Milch</a:t>
          </a: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und</a:t>
          </a: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Rind</a:t>
          </a:r>
        </a:p>
        <a:p>
          <a:pPr algn="ctr"/>
          <a:r>
            <a:rPr lang="de-DE" sz="1100">
              <a:solidFill>
                <a:schemeClr val="bg1"/>
              </a:solidFill>
            </a:rPr>
            <a:t>↗</a:t>
          </a:r>
        </a:p>
        <a:p>
          <a:pPr algn="ctr"/>
          <a:endParaRPr lang="de-DE" sz="1100"/>
        </a:p>
        <a:p>
          <a:pPr algn="ctr"/>
          <a:endParaRPr lang="de-DE" sz="1100"/>
        </a:p>
        <a:p>
          <a:pPr algn="ctr"/>
          <a:endParaRPr lang="de-DE" sz="1100"/>
        </a:p>
        <a:p>
          <a:pPr algn="ctr"/>
          <a:endParaRPr lang="de-DE" sz="1100"/>
        </a:p>
        <a:p>
          <a:pPr algn="ctr"/>
          <a:endParaRPr lang="de-DE" sz="1100"/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Schwein</a:t>
          </a: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und</a:t>
          </a: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Ferkel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de-DE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101">
              <a:solidFill>
                <a:schemeClr val="bg1"/>
              </a:solidFill>
              <a:latin typeface="Aeonik" panose="02010503030300000000" pitchFamily="50" charset="0"/>
            </a:rPr>
            <a:t>Geflügel  1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Hallen </a:t>
          </a: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und </a:t>
          </a: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Lager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EEG  1   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Stamm-</a:t>
          </a: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daten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>
              <a:solidFill>
                <a:schemeClr val="bg1"/>
              </a:solidFill>
              <a:effectLst/>
              <a:latin typeface="Aeonik" panose="02010503030300000000" pitchFamily="50" charset="0"/>
            </a:rPr>
            <a:t>Geflügel 2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Wind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50">
              <a:solidFill>
                <a:schemeClr val="bg1"/>
              </a:solidFill>
              <a:latin typeface="Aeonik" panose="02010503030300000000" pitchFamily="50" charset="0"/>
            </a:rPr>
            <a:t>EEG 2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</xdr:txBody>
    </xdr:sp>
    <xdr:clientData/>
  </xdr:twoCellAnchor>
  <xdr:twoCellAnchor editAs="oneCell">
    <xdr:from>
      <xdr:col>15</xdr:col>
      <xdr:colOff>76200</xdr:colOff>
      <xdr:row>0</xdr:row>
      <xdr:rowOff>133350</xdr:rowOff>
    </xdr:from>
    <xdr:to>
      <xdr:col>18</xdr:col>
      <xdr:colOff>175104</xdr:colOff>
      <xdr:row>0</xdr:row>
      <xdr:rowOff>571499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1F3BA44-4AC5-4F05-9E2E-9C4500F57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49875" y="133350"/>
          <a:ext cx="3028794" cy="4381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1071562</xdr:colOff>
      <xdr:row>27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95F3DFB6-8061-4F64-B9C8-3AA233CC30F6}"/>
            </a:ext>
          </a:extLst>
        </xdr:cNvPr>
        <xdr:cNvSpPr txBox="1"/>
      </xdr:nvSpPr>
      <xdr:spPr>
        <a:xfrm>
          <a:off x="0" y="1464469"/>
          <a:ext cx="1071562" cy="13870781"/>
        </a:xfrm>
        <a:prstGeom prst="rect">
          <a:avLst/>
        </a:prstGeom>
        <a:solidFill>
          <a:srgbClr val="717357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  <a:p>
          <a:endParaRPr lang="de-DE" sz="1100"/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400">
              <a:solidFill>
                <a:schemeClr val="bg1"/>
              </a:solidFill>
              <a:latin typeface="Aeonik" panose="02010503030300000000" pitchFamily="50" charset="0"/>
            </a:rPr>
            <a:t>Milch</a:t>
          </a:r>
        </a:p>
        <a:p>
          <a:pPr algn="ctr"/>
          <a:r>
            <a:rPr lang="de-DE" sz="1400">
              <a:solidFill>
                <a:schemeClr val="bg1"/>
              </a:solidFill>
              <a:latin typeface="Aeonik" panose="02010503030300000000" pitchFamily="50" charset="0"/>
            </a:rPr>
            <a:t>und</a:t>
          </a:r>
        </a:p>
        <a:p>
          <a:pPr algn="ctr"/>
          <a:r>
            <a:rPr lang="de-DE" sz="1400">
              <a:solidFill>
                <a:schemeClr val="bg1"/>
              </a:solidFill>
              <a:latin typeface="Aeonik" panose="02010503030300000000" pitchFamily="50" charset="0"/>
            </a:rPr>
            <a:t>Rind</a:t>
          </a:r>
        </a:p>
        <a:p>
          <a:pPr algn="ctr"/>
          <a:r>
            <a:rPr lang="de-DE" sz="1400">
              <a:solidFill>
                <a:schemeClr val="bg1"/>
              </a:solidFill>
            </a:rPr>
            <a:t>↗</a:t>
          </a:r>
        </a:p>
        <a:p>
          <a:pPr algn="ctr"/>
          <a:endParaRPr lang="de-DE" sz="1200"/>
        </a:p>
        <a:p>
          <a:pPr algn="ctr"/>
          <a:endParaRPr lang="de-DE" sz="1100"/>
        </a:p>
        <a:p>
          <a:pPr algn="ctr"/>
          <a:endParaRPr lang="de-DE" sz="1100"/>
        </a:p>
        <a:p>
          <a:pPr algn="ctr"/>
          <a:endParaRPr lang="de-DE" sz="1100"/>
        </a:p>
        <a:p>
          <a:pPr algn="ctr"/>
          <a:endParaRPr lang="de-DE" sz="1100"/>
        </a:p>
        <a:p>
          <a:pPr algn="ctr"/>
          <a:endParaRPr lang="de-DE" sz="1100"/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400">
              <a:solidFill>
                <a:schemeClr val="bg1"/>
              </a:solidFill>
              <a:latin typeface="Aeonik" panose="02010503030300000000" pitchFamily="50" charset="0"/>
            </a:rPr>
            <a:t>Schwein</a:t>
          </a:r>
        </a:p>
        <a:p>
          <a:pPr algn="ctr"/>
          <a:r>
            <a:rPr lang="de-DE" sz="1400">
              <a:solidFill>
                <a:schemeClr val="bg1"/>
              </a:solidFill>
              <a:latin typeface="Aeonik" panose="02010503030300000000" pitchFamily="50" charset="0"/>
            </a:rPr>
            <a:t>und</a:t>
          </a:r>
        </a:p>
        <a:p>
          <a:pPr algn="ctr"/>
          <a:r>
            <a:rPr lang="de-DE" sz="1400">
              <a:solidFill>
                <a:schemeClr val="bg1"/>
              </a:solidFill>
              <a:latin typeface="Aeonik" panose="02010503030300000000" pitchFamily="50" charset="0"/>
            </a:rPr>
            <a:t>Ferkel</a:t>
          </a:r>
        </a:p>
        <a:p>
          <a:r>
            <a:rPr lang="de-DE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de-DE" sz="14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400">
              <a:solidFill>
                <a:schemeClr val="bg1"/>
              </a:solidFill>
              <a:latin typeface="Aeonik" panose="02010503030300000000" pitchFamily="50" charset="0"/>
            </a:rPr>
            <a:t>Geflügel  1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400">
              <a:solidFill>
                <a:schemeClr val="bg1"/>
              </a:solidFill>
              <a:latin typeface="Aeonik" panose="02010503030300000000" pitchFamily="50" charset="0"/>
            </a:rPr>
            <a:t>EEG  1   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4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400">
            <a:solidFill>
              <a:schemeClr val="bg1"/>
            </a:solidFill>
            <a:effectLst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400">
            <a:solidFill>
              <a:schemeClr val="bg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>
              <a:solidFill>
                <a:schemeClr val="bg1"/>
              </a:solidFill>
              <a:effectLst/>
              <a:latin typeface="Aeonik" panose="02010503030300000000" pitchFamily="50" charset="0"/>
            </a:rPr>
            <a:t>Geflügel 2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r>
            <a:rPr lang="de-DE" sz="1400">
              <a:solidFill>
                <a:schemeClr val="bg1"/>
              </a:solidFill>
              <a:latin typeface="Aeonik" panose="02010503030300000000" pitchFamily="50" charset="0"/>
            </a:rPr>
            <a:t>Wind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4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de-DE" sz="1400">
            <a:solidFill>
              <a:schemeClr val="bg1"/>
            </a:solidFill>
            <a:effectLst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algn="ctr"/>
          <a:endParaRPr lang="de-DE" sz="1400">
            <a:solidFill>
              <a:schemeClr val="bg1"/>
            </a:solidFill>
            <a:latin typeface="Aeonik" panose="02010503030300000000" pitchFamily="50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50">
            <a:solidFill>
              <a:schemeClr val="bg1"/>
            </a:solidFill>
            <a:latin typeface="Aeonik" panose="02010503030300000000" pitchFamily="50" charset="0"/>
          </a:endParaRPr>
        </a:p>
      </xdr:txBody>
    </xdr:sp>
    <xdr:clientData/>
  </xdr:twoCellAnchor>
  <xdr:twoCellAnchor editAs="oneCell">
    <xdr:from>
      <xdr:col>11</xdr:col>
      <xdr:colOff>289718</xdr:colOff>
      <xdr:row>0</xdr:row>
      <xdr:rowOff>265906</xdr:rowOff>
    </xdr:from>
    <xdr:to>
      <xdr:col>13</xdr:col>
      <xdr:colOff>1350012</xdr:colOff>
      <xdr:row>0</xdr:row>
      <xdr:rowOff>704055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97F6A1A-1F39-4A2E-B4D8-75CDB077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64968" y="265906"/>
          <a:ext cx="3028794" cy="438149"/>
        </a:xfrm>
        <a:prstGeom prst="rect">
          <a:avLst/>
        </a:prstGeom>
      </xdr:spPr>
    </xdr:pic>
    <xdr:clientData/>
  </xdr:twoCellAnchor>
  <xdr:oneCellAnchor>
    <xdr:from>
      <xdr:col>10</xdr:col>
      <xdr:colOff>289718</xdr:colOff>
      <xdr:row>0</xdr:row>
      <xdr:rowOff>265906</xdr:rowOff>
    </xdr:from>
    <xdr:ext cx="3012919" cy="438149"/>
    <xdr:pic>
      <xdr:nvPicPr>
        <xdr:cNvPr id="5" name="Grafik 4">
          <a:extLst>
            <a:ext uri="{FF2B5EF4-FFF2-40B4-BE49-F238E27FC236}">
              <a16:creationId xmlns:a16="http://schemas.microsoft.com/office/drawing/2014/main" id="{EF4A20C7-C69C-44AB-A7E6-7AB949A51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01468" y="265906"/>
          <a:ext cx="3012919" cy="438149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600075</xdr:colOff>
      <xdr:row>2</xdr:row>
      <xdr:rowOff>323851</xdr:rowOff>
    </xdr:from>
    <xdr:to>
      <xdr:col>11</xdr:col>
      <xdr:colOff>1039732</xdr:colOff>
      <xdr:row>2</xdr:row>
      <xdr:rowOff>742950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2290D91-B6B4-4F1E-B1D1-7DCC550B5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2300" y="323851"/>
          <a:ext cx="2897107" cy="4190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0</xdr:row>
      <xdr:rowOff>819151</xdr:rowOff>
    </xdr:from>
    <xdr:to>
      <xdr:col>5</xdr:col>
      <xdr:colOff>685644</xdr:colOff>
      <xdr:row>0</xdr:row>
      <xdr:rowOff>1257300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1BEF8F8-E7C0-4CFD-84FC-6731756A9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5150" y="819151"/>
          <a:ext cx="3028794" cy="4381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12816037</xdr:colOff>
      <xdr:row>0</xdr:row>
      <xdr:rowOff>438150</xdr:rowOff>
    </xdr:from>
    <xdr:to>
      <xdr:col>0</xdr:col>
      <xdr:colOff>16174055</xdr:colOff>
      <xdr:row>0</xdr:row>
      <xdr:rowOff>929640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34CEDAB-025F-EEA1-A37F-621EC4A57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16037" y="438150"/>
          <a:ext cx="3358018" cy="48577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indexed="15"/>
    <pageSetUpPr fitToPage="1"/>
  </sheetPr>
  <dimension ref="A1:BN707"/>
  <sheetViews>
    <sheetView showGridLines="0" tabSelected="1" zoomScaleNormal="100" workbookViewId="0"/>
  </sheetViews>
  <sheetFormatPr baseColWidth="10" defaultRowHeight="13.2"/>
  <cols>
    <col min="1" max="1" width="63" customWidth="1"/>
    <col min="2" max="2" width="13.6640625" customWidth="1"/>
    <col min="3" max="3" width="13.6640625" bestFit="1" customWidth="1"/>
    <col min="4" max="4" width="13.6640625" customWidth="1"/>
    <col min="5" max="5" width="13.88671875" customWidth="1"/>
    <col min="6" max="6" width="12.88671875" customWidth="1"/>
    <col min="7" max="7" width="15.88671875" customWidth="1"/>
    <col min="8" max="8" width="17.6640625" customWidth="1"/>
    <col min="9" max="9" width="13.6640625" customWidth="1"/>
    <col min="10" max="10" width="12.33203125" bestFit="1" customWidth="1"/>
    <col min="11" max="11" width="15.88671875" customWidth="1"/>
    <col min="12" max="12" width="20.33203125" customWidth="1"/>
    <col min="13" max="13" width="14.44140625" customWidth="1"/>
    <col min="14" max="14" width="15.33203125" customWidth="1"/>
    <col min="15" max="15" width="13.33203125" customWidth="1"/>
    <col min="16" max="16" width="12.109375" customWidth="1"/>
    <col min="17" max="17" width="14.88671875" customWidth="1"/>
    <col min="18" max="18" width="16.88671875" bestFit="1" customWidth="1"/>
    <col min="19" max="19" width="15.6640625" customWidth="1"/>
    <col min="20" max="20" width="51.44140625" style="336" customWidth="1"/>
    <col min="21" max="21" width="39.6640625" style="336" customWidth="1"/>
    <col min="22" max="22" width="40.109375" style="336" customWidth="1"/>
    <col min="23" max="23" width="10.5546875" hidden="1" customWidth="1"/>
    <col min="24" max="24" width="12" hidden="1" customWidth="1"/>
    <col min="27" max="66" width="11.44140625" style="149"/>
  </cols>
  <sheetData>
    <row r="1" spans="1:26" ht="50.25" customHeight="1" thickBot="1">
      <c r="A1" s="48" t="s">
        <v>23</v>
      </c>
      <c r="B1" s="48"/>
      <c r="C1" s="49"/>
      <c r="D1" s="49"/>
      <c r="E1" s="50"/>
      <c r="F1" s="50"/>
      <c r="G1" s="50"/>
      <c r="H1" s="50"/>
      <c r="I1" s="50"/>
      <c r="J1" s="50"/>
      <c r="K1" s="50"/>
      <c r="L1" s="50"/>
      <c r="M1" s="51" t="s">
        <v>30</v>
      </c>
      <c r="N1" s="52">
        <f ca="1">TODAY()</f>
        <v>45090</v>
      </c>
      <c r="O1" s="50"/>
      <c r="P1" s="50"/>
      <c r="S1" s="50"/>
      <c r="T1" s="339"/>
      <c r="U1" s="339"/>
      <c r="V1" s="339"/>
      <c r="W1" s="14"/>
      <c r="X1" s="14"/>
      <c r="Y1" s="12"/>
      <c r="Z1" s="12"/>
    </row>
    <row r="2" spans="1:26" ht="33.75" customHeight="1" thickBot="1">
      <c r="A2" s="127"/>
      <c r="B2" s="28"/>
      <c r="C2" s="28" t="s">
        <v>426</v>
      </c>
      <c r="D2" s="28"/>
      <c r="E2" s="29"/>
      <c r="F2" s="61"/>
      <c r="G2" s="28" t="s">
        <v>3</v>
      </c>
      <c r="H2" s="61"/>
      <c r="I2" s="87" t="s">
        <v>434</v>
      </c>
      <c r="J2" s="87" t="s">
        <v>435</v>
      </c>
      <c r="K2" s="87" t="s">
        <v>436</v>
      </c>
      <c r="L2" s="87" t="s">
        <v>437</v>
      </c>
      <c r="M2" s="87" t="s">
        <v>438</v>
      </c>
      <c r="N2" s="87" t="s">
        <v>439</v>
      </c>
      <c r="O2" s="69" t="s">
        <v>12</v>
      </c>
      <c r="P2" s="87" t="s">
        <v>440</v>
      </c>
      <c r="Q2" s="87" t="s">
        <v>441</v>
      </c>
      <c r="R2" s="69" t="s">
        <v>27</v>
      </c>
      <c r="S2" s="69" t="s">
        <v>25</v>
      </c>
      <c r="T2" s="340" t="s">
        <v>56</v>
      </c>
      <c r="U2" s="341" t="s">
        <v>31</v>
      </c>
      <c r="V2" s="342" t="s">
        <v>47</v>
      </c>
      <c r="W2" s="17" t="s">
        <v>421</v>
      </c>
      <c r="X2" s="17" t="s">
        <v>421</v>
      </c>
      <c r="Y2" s="12"/>
      <c r="Z2" s="12"/>
    </row>
    <row r="3" spans="1:26" ht="20.100000000000001" customHeight="1">
      <c r="A3" s="53"/>
      <c r="B3" s="15"/>
      <c r="C3" s="26" t="s">
        <v>110</v>
      </c>
      <c r="D3" s="16"/>
      <c r="E3" s="26" t="s">
        <v>1</v>
      </c>
      <c r="F3" s="62" t="s">
        <v>2</v>
      </c>
      <c r="G3" s="26" t="s">
        <v>4</v>
      </c>
      <c r="H3" s="62" t="s">
        <v>95</v>
      </c>
      <c r="I3" s="70" t="s">
        <v>5</v>
      </c>
      <c r="J3" s="70" t="s">
        <v>7</v>
      </c>
      <c r="K3" s="70" t="s">
        <v>26</v>
      </c>
      <c r="L3" s="70" t="s">
        <v>13</v>
      </c>
      <c r="M3" s="70" t="s">
        <v>5</v>
      </c>
      <c r="N3" s="70" t="s">
        <v>9</v>
      </c>
      <c r="O3" s="70" t="s">
        <v>13</v>
      </c>
      <c r="P3" s="70" t="s">
        <v>16</v>
      </c>
      <c r="Q3" s="70" t="s">
        <v>17</v>
      </c>
      <c r="R3" s="128" t="s">
        <v>5</v>
      </c>
      <c r="S3" s="150"/>
      <c r="T3" s="343" t="s">
        <v>49</v>
      </c>
      <c r="U3" s="344" t="s">
        <v>128</v>
      </c>
      <c r="V3" s="345"/>
      <c r="W3" s="19" t="s">
        <v>422</v>
      </c>
      <c r="X3" s="19" t="s">
        <v>422</v>
      </c>
      <c r="Y3" s="12"/>
      <c r="Z3" s="12"/>
    </row>
    <row r="4" spans="1:26" ht="20.100000000000001" customHeight="1">
      <c r="A4" s="54" t="s">
        <v>43</v>
      </c>
      <c r="B4" s="27" t="s">
        <v>108</v>
      </c>
      <c r="C4" s="30">
        <f>+$P$37</f>
        <v>30</v>
      </c>
      <c r="D4" s="30" t="s">
        <v>109</v>
      </c>
      <c r="E4" s="27">
        <f>+Q37</f>
        <v>15</v>
      </c>
      <c r="F4" s="63">
        <f>+R37</f>
        <v>10</v>
      </c>
      <c r="G4" s="27" t="s">
        <v>94</v>
      </c>
      <c r="H4" s="63" t="s">
        <v>96</v>
      </c>
      <c r="I4" s="71" t="s">
        <v>6</v>
      </c>
      <c r="J4" s="71" t="s">
        <v>6</v>
      </c>
      <c r="K4" s="71" t="s">
        <v>14</v>
      </c>
      <c r="L4" s="71" t="s">
        <v>14</v>
      </c>
      <c r="M4" s="71" t="s">
        <v>425</v>
      </c>
      <c r="N4" s="71" t="s">
        <v>14</v>
      </c>
      <c r="O4" s="71" t="s">
        <v>14</v>
      </c>
      <c r="P4" s="71" t="s">
        <v>14</v>
      </c>
      <c r="Q4" s="71" t="s">
        <v>16</v>
      </c>
      <c r="R4" s="129" t="s">
        <v>25</v>
      </c>
      <c r="S4" s="138"/>
      <c r="T4" s="346" t="s">
        <v>50</v>
      </c>
      <c r="U4" s="347" t="s">
        <v>103</v>
      </c>
      <c r="V4" s="348"/>
      <c r="W4" s="19" t="s">
        <v>423</v>
      </c>
      <c r="X4" s="19" t="s">
        <v>424</v>
      </c>
      <c r="Y4" s="8"/>
      <c r="Z4" s="8"/>
    </row>
    <row r="5" spans="1:26" ht="20.100000000000001" customHeight="1" thickBot="1">
      <c r="A5" s="55"/>
      <c r="B5" s="31" t="s">
        <v>8</v>
      </c>
      <c r="C5" s="31" t="s">
        <v>8</v>
      </c>
      <c r="D5" s="31" t="s">
        <v>8</v>
      </c>
      <c r="E5" s="31" t="s">
        <v>8</v>
      </c>
      <c r="F5" s="64" t="s">
        <v>8</v>
      </c>
      <c r="G5" s="31" t="s">
        <v>8</v>
      </c>
      <c r="H5" s="64" t="s">
        <v>8</v>
      </c>
      <c r="I5" s="72" t="s">
        <v>8</v>
      </c>
      <c r="J5" s="72" t="s">
        <v>11</v>
      </c>
      <c r="K5" s="72" t="s">
        <v>8</v>
      </c>
      <c r="L5" s="72" t="s">
        <v>427</v>
      </c>
      <c r="M5" s="72" t="s">
        <v>10</v>
      </c>
      <c r="N5" s="72" t="s">
        <v>8</v>
      </c>
      <c r="O5" s="72" t="s">
        <v>15</v>
      </c>
      <c r="P5" s="72" t="s">
        <v>19</v>
      </c>
      <c r="Q5" s="72" t="s">
        <v>19</v>
      </c>
      <c r="R5" s="130"/>
      <c r="S5" s="139"/>
      <c r="T5" s="349"/>
      <c r="U5" s="350"/>
      <c r="V5" s="351"/>
      <c r="W5" s="19" t="s">
        <v>21</v>
      </c>
      <c r="X5" s="19" t="s">
        <v>21</v>
      </c>
      <c r="Y5" s="8"/>
      <c r="Z5" s="8"/>
    </row>
    <row r="6" spans="1:26" ht="20.100000000000001" customHeight="1">
      <c r="A6" s="56" t="s">
        <v>349</v>
      </c>
      <c r="B6" s="33">
        <f>(((9982*0.75)-D6))*0.98</f>
        <v>6028.4744835000001</v>
      </c>
      <c r="C6" s="34">
        <f>+B6+D6</f>
        <v>7363.4699085000002</v>
      </c>
      <c r="D6" s="34">
        <f>+J6*$C$42/12*$C$43</f>
        <v>1334.9954249999998</v>
      </c>
      <c r="E6" s="33">
        <f>(9982*0.1)*0.85</f>
        <v>848.47</v>
      </c>
      <c r="F6" s="65">
        <f>(9982*0.15)*0.85</f>
        <v>1272.7049999999999</v>
      </c>
      <c r="G6" s="34">
        <f t="shared" ref="G6:G29" si="0">(+C6/100*$C$45)+(E6/100*$E$45)+(F6/100*$F$45)</f>
        <v>73.634699085000008</v>
      </c>
      <c r="H6" s="66">
        <f t="shared" ref="H6:H29" si="1">(C6+E6+F6)/100*$C$48</f>
        <v>18.969289817</v>
      </c>
      <c r="I6" s="73">
        <v>0</v>
      </c>
      <c r="J6" s="73">
        <f>(26336+28909)/2/1000</f>
        <v>27.622499999999999</v>
      </c>
      <c r="K6" s="73">
        <f t="shared" ref="K6:K19" si="2">+$C$40*J6</f>
        <v>138.11249999999998</v>
      </c>
      <c r="L6" s="77">
        <f>(136.12*365)-16400</f>
        <v>33283.800000000003</v>
      </c>
      <c r="M6" s="75">
        <f>IF(L6&gt;0,1/((+$C$38+(2*$C$39))/3/L6),0)</f>
        <v>0.33294898299433145</v>
      </c>
      <c r="N6" s="73">
        <f t="shared" ref="N6:N14" si="3">+$C$37*M6*W6/100+M6*$F$37*X6/100</f>
        <v>149.82704234744918</v>
      </c>
      <c r="O6" s="73">
        <v>29.47</v>
      </c>
      <c r="P6" s="73">
        <v>1</v>
      </c>
      <c r="Q6" s="78">
        <v>0</v>
      </c>
      <c r="R6" s="131">
        <v>9000</v>
      </c>
      <c r="S6" s="140" t="s">
        <v>28</v>
      </c>
      <c r="T6" s="352" t="s">
        <v>409</v>
      </c>
      <c r="U6" s="353"/>
      <c r="V6" s="345" t="s">
        <v>48</v>
      </c>
      <c r="W6" s="21">
        <f>0.666666666666667*100</f>
        <v>66.6666666666667</v>
      </c>
      <c r="X6" s="21">
        <f>0.333333333333333*100</f>
        <v>33.3333333333333</v>
      </c>
      <c r="Y6" s="12"/>
      <c r="Z6" s="12"/>
    </row>
    <row r="7" spans="1:26" ht="20.100000000000001" customHeight="1">
      <c r="A7" s="56" t="s">
        <v>142</v>
      </c>
      <c r="B7" s="34">
        <f>(+(10843*0.6)-D7)*0.98</f>
        <v>5067.3884834999999</v>
      </c>
      <c r="C7" s="34">
        <f t="shared" ref="C7:C29" si="4">+B7+D7</f>
        <v>6402.3839085</v>
      </c>
      <c r="D7" s="34">
        <f t="shared" ref="D7:D19" si="5">+J7*$C$42/12*$C$43</f>
        <v>1334.9954249999998</v>
      </c>
      <c r="E7" s="34">
        <f>(10843*0.15)*0.85</f>
        <v>1382.4825000000001</v>
      </c>
      <c r="F7" s="66">
        <f>(10843*0.25)*0.85</f>
        <v>2304.1374999999998</v>
      </c>
      <c r="G7" s="34">
        <f t="shared" si="0"/>
        <v>64.023839085000006</v>
      </c>
      <c r="H7" s="66">
        <f t="shared" si="1"/>
        <v>20.178007816999997</v>
      </c>
      <c r="I7" s="73">
        <v>0</v>
      </c>
      <c r="J7" s="73">
        <f>(26336+28909)/2/1000</f>
        <v>27.622499999999999</v>
      </c>
      <c r="K7" s="73">
        <f t="shared" si="2"/>
        <v>138.11249999999998</v>
      </c>
      <c r="L7" s="77">
        <f>(136.12*365)-16400</f>
        <v>33283.800000000003</v>
      </c>
      <c r="M7" s="75">
        <f>IF(L7&gt;0,1/((+$C$38+(2*$C$39))/3/L7),0)</f>
        <v>0.33294898299433145</v>
      </c>
      <c r="N7" s="73">
        <f t="shared" si="3"/>
        <v>149.82704234744918</v>
      </c>
      <c r="O7" s="73">
        <v>25.01</v>
      </c>
      <c r="P7" s="73">
        <v>1</v>
      </c>
      <c r="Q7" s="78">
        <v>0</v>
      </c>
      <c r="R7" s="131">
        <v>9000</v>
      </c>
      <c r="S7" s="140" t="s">
        <v>28</v>
      </c>
      <c r="T7" s="354" t="s">
        <v>409</v>
      </c>
      <c r="U7" s="353"/>
      <c r="V7" s="345" t="s">
        <v>85</v>
      </c>
      <c r="W7" s="21">
        <f>0.666666666666667*100</f>
        <v>66.6666666666667</v>
      </c>
      <c r="X7" s="21">
        <f>0.333333333333333*100</f>
        <v>33.3333333333333</v>
      </c>
      <c r="Y7" s="12"/>
      <c r="Z7" s="12"/>
    </row>
    <row r="8" spans="1:26" ht="20.100000000000001" customHeight="1">
      <c r="A8" s="56" t="s">
        <v>288</v>
      </c>
      <c r="B8" s="34">
        <f>(5680.11*0.8)*0.98</f>
        <v>4453.2062399999995</v>
      </c>
      <c r="C8" s="34">
        <f t="shared" si="4"/>
        <v>5812.8982949999991</v>
      </c>
      <c r="D8" s="34">
        <f t="shared" si="5"/>
        <v>1359.692055</v>
      </c>
      <c r="E8" s="34">
        <f>(4300*0.23*1.1)*0.85</f>
        <v>924.71500000000003</v>
      </c>
      <c r="F8" s="66">
        <f>(4300*0.24*1.1)*0.85</f>
        <v>964.92</v>
      </c>
      <c r="G8" s="34">
        <f t="shared" si="0"/>
        <v>58.128982949999994</v>
      </c>
      <c r="H8" s="66">
        <f t="shared" si="1"/>
        <v>15.405066589999999</v>
      </c>
      <c r="I8" s="73">
        <v>0</v>
      </c>
      <c r="J8" s="73">
        <f>(10269+16583+10906+18509)/2/1000</f>
        <v>28.133500000000002</v>
      </c>
      <c r="K8" s="73">
        <f t="shared" si="2"/>
        <v>140.66750000000002</v>
      </c>
      <c r="L8" s="77">
        <f>(136.12*365)-16400</f>
        <v>33283.800000000003</v>
      </c>
      <c r="M8" s="75">
        <f>IF(L8&gt;0,1/((+$C$38+(2*$C$39))/3/L8),0)</f>
        <v>0.33294898299433145</v>
      </c>
      <c r="N8" s="73">
        <f t="shared" si="3"/>
        <v>149.82704234744918</v>
      </c>
      <c r="O8" s="73">
        <v>33.5</v>
      </c>
      <c r="P8" s="73">
        <v>1</v>
      </c>
      <c r="Q8" s="78">
        <v>0</v>
      </c>
      <c r="R8" s="131">
        <v>9000</v>
      </c>
      <c r="S8" s="140" t="s">
        <v>28</v>
      </c>
      <c r="T8" s="354" t="s">
        <v>409</v>
      </c>
      <c r="U8" s="353"/>
      <c r="V8" s="345"/>
      <c r="W8" s="21">
        <f>0.666666666666667*100</f>
        <v>66.6666666666667</v>
      </c>
      <c r="X8" s="21">
        <f>0.333333333333333*100</f>
        <v>33.3333333333333</v>
      </c>
      <c r="Y8" s="12"/>
      <c r="Z8" s="12"/>
    </row>
    <row r="9" spans="1:26" ht="20.100000000000001" customHeight="1">
      <c r="A9" s="57" t="s">
        <v>42</v>
      </c>
      <c r="B9" s="34">
        <f>(1665*58%)*0.98</f>
        <v>946.38599999999997</v>
      </c>
      <c r="C9" s="34">
        <f t="shared" si="4"/>
        <v>1067.211</v>
      </c>
      <c r="D9" s="34">
        <f t="shared" si="5"/>
        <v>120.82499999999999</v>
      </c>
      <c r="E9" s="34">
        <f>(1665*11%)*0.85</f>
        <v>155.67750000000001</v>
      </c>
      <c r="F9" s="66">
        <f>(1665*31%)*0.85</f>
        <v>438.72749999999996</v>
      </c>
      <c r="G9" s="34">
        <f t="shared" si="0"/>
        <v>10.67211</v>
      </c>
      <c r="H9" s="66">
        <f t="shared" si="1"/>
        <v>3.3232320000000004</v>
      </c>
      <c r="I9" s="73">
        <v>0</v>
      </c>
      <c r="J9" s="73">
        <v>2.5</v>
      </c>
      <c r="K9" s="73">
        <f t="shared" si="2"/>
        <v>12.5</v>
      </c>
      <c r="L9" s="78">
        <v>0</v>
      </c>
      <c r="M9" s="75">
        <f>IF(L9&gt;0,1/((+$E$38+$E$39)/2/L9),0)</f>
        <v>0</v>
      </c>
      <c r="N9" s="73">
        <f t="shared" si="3"/>
        <v>0</v>
      </c>
      <c r="O9" s="73">
        <v>5</v>
      </c>
      <c r="P9" s="73">
        <v>2</v>
      </c>
      <c r="Q9" s="78">
        <v>0</v>
      </c>
      <c r="R9" s="131"/>
      <c r="S9" s="141"/>
      <c r="T9" s="354" t="s">
        <v>156</v>
      </c>
      <c r="U9" s="353" t="s">
        <v>80</v>
      </c>
      <c r="V9" s="345"/>
      <c r="W9" s="22"/>
      <c r="X9" s="22"/>
      <c r="Y9" s="12"/>
      <c r="Z9" s="12"/>
    </row>
    <row r="10" spans="1:26" ht="20.100000000000001" customHeight="1">
      <c r="A10" s="57" t="s">
        <v>60</v>
      </c>
      <c r="B10" s="34">
        <f>(+(2268*0.6)-D10)*0.98</f>
        <v>1148.8667399999999</v>
      </c>
      <c r="C10" s="34">
        <f t="shared" si="4"/>
        <v>1337.35374</v>
      </c>
      <c r="D10" s="34">
        <f t="shared" si="5"/>
        <v>188.48700000000002</v>
      </c>
      <c r="E10" s="34">
        <f>(2268*0.1)*0.85</f>
        <v>192.78</v>
      </c>
      <c r="F10" s="66">
        <f>(2268*0.3)*0.85</f>
        <v>578.33999999999992</v>
      </c>
      <c r="G10" s="34">
        <f t="shared" si="0"/>
        <v>13.3735374</v>
      </c>
      <c r="H10" s="66">
        <f t="shared" si="1"/>
        <v>4.21694748</v>
      </c>
      <c r="I10" s="73">
        <v>0</v>
      </c>
      <c r="J10" s="73">
        <f>1.3*3</f>
        <v>3.9000000000000004</v>
      </c>
      <c r="K10" s="73">
        <f t="shared" si="2"/>
        <v>19.5</v>
      </c>
      <c r="L10" s="78">
        <f>37.857*118*0.27*P10</f>
        <v>3618.3720600000006</v>
      </c>
      <c r="M10" s="75">
        <f>IF(L10&gt;0,1/($E$39/L10),0)</f>
        <v>1.9349583208556152E-2</v>
      </c>
      <c r="N10" s="73">
        <f t="shared" si="3"/>
        <v>9.6747916042780755</v>
      </c>
      <c r="O10" s="73">
        <v>10.199999999999999</v>
      </c>
      <c r="P10" s="73">
        <v>3</v>
      </c>
      <c r="Q10" s="78">
        <v>0</v>
      </c>
      <c r="R10" s="131"/>
      <c r="S10" s="141"/>
      <c r="T10" s="354" t="s">
        <v>367</v>
      </c>
      <c r="U10" s="355" t="s">
        <v>368</v>
      </c>
      <c r="V10" s="345"/>
      <c r="W10" s="22">
        <v>100</v>
      </c>
      <c r="X10" s="22"/>
      <c r="Y10" s="12"/>
      <c r="Z10" s="12"/>
    </row>
    <row r="11" spans="1:26" ht="20.100000000000001" customHeight="1">
      <c r="A11" s="57" t="s">
        <v>46</v>
      </c>
      <c r="B11" s="34">
        <f>((2282/720*560)+(C10/720*160))*0.98</f>
        <v>2030.6370367111108</v>
      </c>
      <c r="C11" s="34">
        <f t="shared" si="4"/>
        <v>2469.0867967111108</v>
      </c>
      <c r="D11" s="34">
        <f t="shared" si="5"/>
        <v>438.44975999999991</v>
      </c>
      <c r="E11" s="34">
        <f>((324/720*560)+(E10/720*160))*0.85</f>
        <v>250.61399999999998</v>
      </c>
      <c r="F11" s="66">
        <f>((255/720*560)+(F10/720*160))*0.85</f>
        <v>277.82533333333333</v>
      </c>
      <c r="G11" s="34">
        <f>(+B11/100*$C$45)+(E11/100*$E$45)+(F11/100*$F$45)</f>
        <v>20.306370367111107</v>
      </c>
      <c r="H11" s="66">
        <f>(B11+E11+F11)/100*$C$48</f>
        <v>5.1181527400888882</v>
      </c>
      <c r="I11" s="73">
        <v>0</v>
      </c>
      <c r="J11" s="73">
        <f>18.9/25*12</f>
        <v>9.0719999999999992</v>
      </c>
      <c r="K11" s="73">
        <f t="shared" si="2"/>
        <v>45.36</v>
      </c>
      <c r="L11" s="78">
        <f>(+(43750/25*12)+L10)</f>
        <v>24618.372060000002</v>
      </c>
      <c r="M11" s="75">
        <f>IF(L11&gt;0,1/((+$E$38+$E$39)/2/L11),0)</f>
        <v>0.15789307238420197</v>
      </c>
      <c r="N11" s="73">
        <f t="shared" si="3"/>
        <v>67.104555763285845</v>
      </c>
      <c r="O11" s="73">
        <v>3.67</v>
      </c>
      <c r="P11" s="73">
        <f>12/25</f>
        <v>0.48</v>
      </c>
      <c r="Q11" s="78">
        <v>0</v>
      </c>
      <c r="R11" s="131"/>
      <c r="S11" s="141"/>
      <c r="T11" s="354" t="s">
        <v>371</v>
      </c>
      <c r="U11" s="355" t="s">
        <v>369</v>
      </c>
      <c r="V11" s="345"/>
      <c r="W11" s="24">
        <v>50</v>
      </c>
      <c r="X11" s="24">
        <v>50</v>
      </c>
      <c r="Y11" s="12"/>
      <c r="Z11" s="12"/>
    </row>
    <row r="12" spans="1:26" ht="20.100000000000001" customHeight="1">
      <c r="A12" s="57" t="s">
        <v>44</v>
      </c>
      <c r="B12" s="34">
        <f>((2858*0.65)-D12)*0.98</f>
        <v>1417.9570999999999</v>
      </c>
      <c r="C12" s="34">
        <f t="shared" si="4"/>
        <v>1828.7620999999999</v>
      </c>
      <c r="D12" s="34">
        <f t="shared" si="5"/>
        <v>410.80500000000001</v>
      </c>
      <c r="E12" s="34">
        <f>(2858*0.25)*0.85</f>
        <v>607.32499999999993</v>
      </c>
      <c r="F12" s="66">
        <f>(2858*0.1)*0.85</f>
        <v>242.93</v>
      </c>
      <c r="G12" s="34">
        <f t="shared" si="0"/>
        <v>18.287620999999998</v>
      </c>
      <c r="H12" s="66">
        <f t="shared" si="1"/>
        <v>5.3580341999999996</v>
      </c>
      <c r="I12" s="73">
        <v>0</v>
      </c>
      <c r="J12" s="73">
        <v>8.5</v>
      </c>
      <c r="K12" s="73">
        <f t="shared" si="2"/>
        <v>42.5</v>
      </c>
      <c r="L12" s="78">
        <f>26160/13.8*12</f>
        <v>22747.82608695652</v>
      </c>
      <c r="M12" s="75">
        <f>IF(L12&gt;0,1/(((+$E$38*0.15)+($E$39*0.85))/L12),0)</f>
        <v>0.12803025116001721</v>
      </c>
      <c r="N12" s="73">
        <f t="shared" si="3"/>
        <v>61.134444928908223</v>
      </c>
      <c r="O12" s="73">
        <v>3.97</v>
      </c>
      <c r="P12" s="73">
        <v>1</v>
      </c>
      <c r="Q12" s="78">
        <v>0</v>
      </c>
      <c r="R12" s="131"/>
      <c r="S12" s="141"/>
      <c r="T12" s="354" t="s">
        <v>370</v>
      </c>
      <c r="U12" s="355" t="s">
        <v>372</v>
      </c>
      <c r="V12" s="345"/>
      <c r="W12" s="22">
        <v>85</v>
      </c>
      <c r="X12" s="22">
        <v>15</v>
      </c>
      <c r="Y12" s="12"/>
      <c r="Z12" s="12"/>
    </row>
    <row r="13" spans="1:26" ht="20.100000000000001" customHeight="1">
      <c r="A13" s="57" t="s">
        <v>45</v>
      </c>
      <c r="B13" s="34">
        <f>((C12/540*420)+(C10/540*120))</f>
        <v>1719.5602422222223</v>
      </c>
      <c r="C13" s="34">
        <f t="shared" si="4"/>
        <v>2048.2042422222221</v>
      </c>
      <c r="D13" s="34">
        <f t="shared" si="5"/>
        <v>328.64400000000001</v>
      </c>
      <c r="E13" s="34">
        <f>((E12/540*420)+(E10/540*120))</f>
        <v>515.20388888888886</v>
      </c>
      <c r="F13" s="66">
        <f>((F12/540*420)+(F10/540*120))</f>
        <v>317.46555555555551</v>
      </c>
      <c r="G13" s="34">
        <f>(+B13/100*$C$45)+(E13/100*$E$45)+(F13/100*$F$45)</f>
        <v>17.195602422222223</v>
      </c>
      <c r="H13" s="66">
        <f>(B13+E13+F13)/100*$C$48</f>
        <v>5.1044593733333334</v>
      </c>
      <c r="I13" s="73">
        <v>0</v>
      </c>
      <c r="J13" s="73">
        <v>6.8</v>
      </c>
      <c r="K13" s="73">
        <f t="shared" si="2"/>
        <v>34</v>
      </c>
      <c r="L13" s="78">
        <f>+(L12+(L10/2))*P13</f>
        <v>16453.19811836087</v>
      </c>
      <c r="M13" s="75">
        <f>IF(L13&gt;0,1/(((+$E$38*0.15)+($E$39*0.85))/L13),0)</f>
        <v>9.2602566919004384E-2</v>
      </c>
      <c r="N13" s="73">
        <f t="shared" si="3"/>
        <v>44.217725703824591</v>
      </c>
      <c r="O13" s="73">
        <v>3.7</v>
      </c>
      <c r="P13" s="73">
        <v>0.67</v>
      </c>
      <c r="Q13" s="78">
        <v>0</v>
      </c>
      <c r="R13" s="131"/>
      <c r="S13" s="141"/>
      <c r="T13" s="354" t="s">
        <v>370</v>
      </c>
      <c r="U13" s="355" t="s">
        <v>373</v>
      </c>
      <c r="V13" s="345"/>
      <c r="W13" s="24">
        <v>85</v>
      </c>
      <c r="X13" s="24">
        <v>15</v>
      </c>
      <c r="Y13" s="12"/>
      <c r="Z13" s="12"/>
    </row>
    <row r="14" spans="1:26" ht="20.100000000000001" customHeight="1" thickBot="1">
      <c r="A14" s="58" t="s">
        <v>34</v>
      </c>
      <c r="B14" s="40">
        <f>3841*0.98</f>
        <v>3764.18</v>
      </c>
      <c r="C14" s="41">
        <f t="shared" si="4"/>
        <v>4346.7882191780818</v>
      </c>
      <c r="D14" s="41">
        <f>+J14*$C$42/365*165</f>
        <v>582.60821917808221</v>
      </c>
      <c r="E14" s="41">
        <f>243*0.85</f>
        <v>206.54999999999998</v>
      </c>
      <c r="F14" s="67">
        <f>589*0.85</f>
        <v>500.65</v>
      </c>
      <c r="G14" s="41">
        <f t="shared" si="0"/>
        <v>43.467882191780816</v>
      </c>
      <c r="H14" s="67">
        <f t="shared" si="1"/>
        <v>10.107976438356165</v>
      </c>
      <c r="I14" s="74">
        <v>0</v>
      </c>
      <c r="J14" s="74">
        <v>20</v>
      </c>
      <c r="K14" s="74">
        <f>+$C$40*J14/365*165</f>
        <v>45.205479452054789</v>
      </c>
      <c r="L14" s="79">
        <v>48365</v>
      </c>
      <c r="M14" s="76">
        <f>IF(L14&gt;0,1/((+$E$38+$E$39)/2/L14),0)</f>
        <v>0.31019510255390653</v>
      </c>
      <c r="N14" s="74">
        <f t="shared" si="3"/>
        <v>131.83291858541025</v>
      </c>
      <c r="O14" s="74">
        <v>20.100000000000001</v>
      </c>
      <c r="P14" s="74">
        <v>1</v>
      </c>
      <c r="Q14" s="79">
        <v>0</v>
      </c>
      <c r="R14" s="132"/>
      <c r="S14" s="142"/>
      <c r="T14" s="356" t="s">
        <v>374</v>
      </c>
      <c r="U14" s="357" t="s">
        <v>375</v>
      </c>
      <c r="V14" s="358"/>
      <c r="W14" s="22">
        <v>50</v>
      </c>
      <c r="X14" s="22">
        <v>50</v>
      </c>
      <c r="Y14" s="12"/>
      <c r="Z14" s="12"/>
    </row>
    <row r="15" spans="1:26" ht="20.100000000000001" customHeight="1">
      <c r="A15" s="57" t="s">
        <v>35</v>
      </c>
      <c r="B15" s="34">
        <f>(+C16+(C17*R17)-D15)</f>
        <v>2180.5611520000002</v>
      </c>
      <c r="C15" s="34">
        <f t="shared" si="4"/>
        <v>2601.998752</v>
      </c>
      <c r="D15" s="34">
        <f t="shared" si="5"/>
        <v>421.43759999999986</v>
      </c>
      <c r="E15" s="34">
        <f>(+E16+(E17*R17))</f>
        <v>1056.6349999999998</v>
      </c>
      <c r="F15" s="66">
        <f>(+F16+(F17*R17))</f>
        <v>690.11500000000001</v>
      </c>
      <c r="G15" s="34">
        <f>(+B15/100*$C$45)+(E15/100*$E$45)+(F15/100*$F$45)</f>
        <v>21.805611520000003</v>
      </c>
      <c r="H15" s="66">
        <f>(B15+E15+F15)/100*$C$48</f>
        <v>7.8546223040000003</v>
      </c>
      <c r="I15" s="73">
        <v>0</v>
      </c>
      <c r="J15" s="73">
        <f>+J16+(J17*R17)</f>
        <v>8.7199999999999989</v>
      </c>
      <c r="K15" s="73">
        <f t="shared" si="2"/>
        <v>43.599999999999994</v>
      </c>
      <c r="L15" s="78">
        <v>0</v>
      </c>
      <c r="M15" s="75">
        <f t="shared" ref="M15:M26" si="6">IF(L15&gt;0,1/((+$C$38+$C$39)/2/L15),0)</f>
        <v>0</v>
      </c>
      <c r="N15" s="73">
        <f t="shared" ref="N15:N29" si="7">+$C$37*M15</f>
        <v>0</v>
      </c>
      <c r="O15" s="73">
        <v>9.0500000000000007</v>
      </c>
      <c r="P15" s="73">
        <v>1</v>
      </c>
      <c r="Q15" s="78">
        <v>0</v>
      </c>
      <c r="R15" s="133">
        <v>28</v>
      </c>
      <c r="S15" s="141" t="s">
        <v>115</v>
      </c>
      <c r="T15" s="354" t="s">
        <v>377</v>
      </c>
      <c r="U15" s="355" t="s">
        <v>80</v>
      </c>
      <c r="V15" s="345"/>
      <c r="W15" s="22"/>
      <c r="X15" s="22"/>
      <c r="Y15" s="12"/>
      <c r="Z15" s="12"/>
    </row>
    <row r="16" spans="1:26" ht="20.100000000000001" customHeight="1">
      <c r="A16" s="57" t="s">
        <v>36</v>
      </c>
      <c r="B16" s="34">
        <f>(1703-D16)*0.98</f>
        <v>1425.0184899999999</v>
      </c>
      <c r="C16" s="34">
        <f t="shared" si="4"/>
        <v>1673.9179899999999</v>
      </c>
      <c r="D16" s="34">
        <f t="shared" si="5"/>
        <v>248.89949999999999</v>
      </c>
      <c r="E16" s="34">
        <f>728*0.85</f>
        <v>618.79999999999995</v>
      </c>
      <c r="F16" s="66">
        <f>562*0.85</f>
        <v>477.7</v>
      </c>
      <c r="G16" s="34">
        <f t="shared" si="0"/>
        <v>16.7391799</v>
      </c>
      <c r="H16" s="66">
        <f t="shared" si="1"/>
        <v>5.5408359800000007</v>
      </c>
      <c r="I16" s="73">
        <v>0</v>
      </c>
      <c r="J16" s="73">
        <v>5.15</v>
      </c>
      <c r="K16" s="73">
        <f t="shared" si="2"/>
        <v>25.75</v>
      </c>
      <c r="L16" s="78">
        <v>0</v>
      </c>
      <c r="M16" s="75">
        <f t="shared" si="6"/>
        <v>0</v>
      </c>
      <c r="N16" s="73">
        <f t="shared" si="7"/>
        <v>0</v>
      </c>
      <c r="O16" s="73">
        <f>+O15-(O17*R17)</f>
        <v>5.3270000000000008</v>
      </c>
      <c r="P16" s="73">
        <v>1</v>
      </c>
      <c r="Q16" s="78">
        <v>0</v>
      </c>
      <c r="R16" s="133">
        <v>29</v>
      </c>
      <c r="S16" s="141" t="s">
        <v>115</v>
      </c>
      <c r="T16" s="354" t="s">
        <v>377</v>
      </c>
      <c r="U16" s="355" t="s">
        <v>136</v>
      </c>
      <c r="V16" s="345"/>
      <c r="W16" s="22"/>
      <c r="X16" s="22"/>
      <c r="Y16" s="12"/>
      <c r="Z16" s="12"/>
    </row>
    <row r="17" spans="1:26" ht="20.100000000000001" customHeight="1">
      <c r="A17" s="57" t="s">
        <v>37</v>
      </c>
      <c r="B17" s="34">
        <f>(185-D17)*0.98</f>
        <v>148.14562000000001</v>
      </c>
      <c r="C17" s="34">
        <f t="shared" si="4"/>
        <v>181.97662</v>
      </c>
      <c r="D17" s="34">
        <f t="shared" si="5"/>
        <v>33.830999999999996</v>
      </c>
      <c r="E17" s="34">
        <f>101*0.85</f>
        <v>85.85</v>
      </c>
      <c r="F17" s="66">
        <f>49*0.85</f>
        <v>41.65</v>
      </c>
      <c r="G17" s="34">
        <f t="shared" si="0"/>
        <v>1.8197661999999999</v>
      </c>
      <c r="H17" s="66">
        <f t="shared" si="1"/>
        <v>0.61895323999999996</v>
      </c>
      <c r="I17" s="73">
        <v>0</v>
      </c>
      <c r="J17" s="73">
        <v>0.7</v>
      </c>
      <c r="K17" s="73">
        <f t="shared" si="2"/>
        <v>3.5</v>
      </c>
      <c r="L17" s="78">
        <v>0</v>
      </c>
      <c r="M17" s="75">
        <f t="shared" si="6"/>
        <v>0</v>
      </c>
      <c r="N17" s="73">
        <f t="shared" si="7"/>
        <v>0</v>
      </c>
      <c r="O17" s="73">
        <v>0.73</v>
      </c>
      <c r="P17" s="73">
        <v>6.7</v>
      </c>
      <c r="Q17" s="78">
        <v>0</v>
      </c>
      <c r="R17" s="133">
        <v>5.0999999999999996</v>
      </c>
      <c r="S17" s="141" t="s">
        <v>116</v>
      </c>
      <c r="T17" s="354" t="s">
        <v>376</v>
      </c>
      <c r="U17" s="355" t="s">
        <v>327</v>
      </c>
      <c r="V17" s="345"/>
      <c r="W17" s="22"/>
      <c r="X17" s="22"/>
      <c r="Y17" s="12"/>
      <c r="Z17" s="12"/>
    </row>
    <row r="18" spans="1:26" ht="20.100000000000001" customHeight="1">
      <c r="A18" s="57" t="s">
        <v>62</v>
      </c>
      <c r="B18" s="34">
        <f>(367-D18)*0.98</f>
        <v>282.93129199999998</v>
      </c>
      <c r="C18" s="34">
        <f t="shared" si="4"/>
        <v>361.22589199999999</v>
      </c>
      <c r="D18" s="34">
        <f t="shared" si="5"/>
        <v>78.294600000000003</v>
      </c>
      <c r="E18" s="34">
        <f>96.76*0.85</f>
        <v>82.245999999999995</v>
      </c>
      <c r="F18" s="66">
        <f>63*0.85</f>
        <v>53.55</v>
      </c>
      <c r="G18" s="34">
        <f t="shared" si="0"/>
        <v>3.6122589199999999</v>
      </c>
      <c r="H18" s="66">
        <f t="shared" si="1"/>
        <v>0.99404378400000004</v>
      </c>
      <c r="I18" s="73">
        <v>0</v>
      </c>
      <c r="J18" s="73">
        <v>1.62</v>
      </c>
      <c r="K18" s="73">
        <f t="shared" si="2"/>
        <v>8.1000000000000014</v>
      </c>
      <c r="L18" s="78">
        <v>0</v>
      </c>
      <c r="M18" s="75">
        <f t="shared" si="6"/>
        <v>0</v>
      </c>
      <c r="N18" s="73">
        <f t="shared" si="7"/>
        <v>0</v>
      </c>
      <c r="O18" s="73">
        <v>0.85</v>
      </c>
      <c r="P18" s="73">
        <v>2.9</v>
      </c>
      <c r="Q18" s="78">
        <v>0</v>
      </c>
      <c r="R18" s="133"/>
      <c r="S18" s="141"/>
      <c r="T18" s="354" t="s">
        <v>378</v>
      </c>
      <c r="U18" s="355" t="s">
        <v>327</v>
      </c>
      <c r="V18" s="345"/>
      <c r="W18" s="22"/>
      <c r="X18" s="22"/>
      <c r="Y18" s="12"/>
      <c r="Z18" s="12"/>
    </row>
    <row r="19" spans="1:26" ht="20.100000000000001" customHeight="1" thickBot="1">
      <c r="A19" s="59" t="s">
        <v>61</v>
      </c>
      <c r="B19" s="41">
        <f>((521*61%)-D19)*0.98</f>
        <v>234.72509199999999</v>
      </c>
      <c r="C19" s="41">
        <f t="shared" si="4"/>
        <v>313.01969199999996</v>
      </c>
      <c r="D19" s="41">
        <f t="shared" si="5"/>
        <v>78.294600000000003</v>
      </c>
      <c r="E19" s="41">
        <f>(521*23%)*0.85</f>
        <v>101.85549999999999</v>
      </c>
      <c r="F19" s="67">
        <f>(521*16%)*0.85</f>
        <v>70.855999999999995</v>
      </c>
      <c r="G19" s="41">
        <f t="shared" si="0"/>
        <v>3.1301969199999995</v>
      </c>
      <c r="H19" s="67">
        <f t="shared" si="1"/>
        <v>0.97146238400000007</v>
      </c>
      <c r="I19" s="74">
        <v>0</v>
      </c>
      <c r="J19" s="74">
        <v>1.62</v>
      </c>
      <c r="K19" s="74">
        <f t="shared" si="2"/>
        <v>8.1000000000000014</v>
      </c>
      <c r="L19" s="79">
        <v>0</v>
      </c>
      <c r="M19" s="76">
        <f t="shared" si="6"/>
        <v>0</v>
      </c>
      <c r="N19" s="74">
        <f t="shared" si="7"/>
        <v>0</v>
      </c>
      <c r="O19" s="74">
        <v>0.98</v>
      </c>
      <c r="P19" s="74">
        <v>2.9</v>
      </c>
      <c r="Q19" s="79">
        <v>0</v>
      </c>
      <c r="R19" s="134"/>
      <c r="S19" s="142"/>
      <c r="T19" s="356" t="s">
        <v>378</v>
      </c>
      <c r="U19" s="357" t="s">
        <v>327</v>
      </c>
      <c r="V19" s="358"/>
      <c r="W19" s="22"/>
      <c r="X19" s="22"/>
      <c r="Y19" s="12"/>
      <c r="Z19" s="12"/>
    </row>
    <row r="20" spans="1:26" ht="20.100000000000001" customHeight="1">
      <c r="A20" s="57" t="s">
        <v>38</v>
      </c>
      <c r="B20" s="34">
        <f>(27.93*0.83)*0.98</f>
        <v>22.718261999999999</v>
      </c>
      <c r="C20" s="34">
        <f t="shared" si="4"/>
        <v>22.718261999999999</v>
      </c>
      <c r="D20" s="34">
        <v>0</v>
      </c>
      <c r="E20" s="34">
        <f>(27.93*0.11)*0.85</f>
        <v>2.6114549999999999</v>
      </c>
      <c r="F20" s="66">
        <f>(27.93*0.06)*0.85</f>
        <v>1.4244299999999999</v>
      </c>
      <c r="G20" s="34">
        <f t="shared" si="0"/>
        <v>0.22718262</v>
      </c>
      <c r="H20" s="66">
        <f t="shared" si="1"/>
        <v>5.3508294000000005E-2</v>
      </c>
      <c r="I20" s="73">
        <v>0</v>
      </c>
      <c r="J20" s="75">
        <v>2.725E-2</v>
      </c>
      <c r="K20" s="73">
        <f t="shared" ref="K20:K26" si="8">+$C$41*J20</f>
        <v>8.1750000000000003E-2</v>
      </c>
      <c r="L20" s="78">
        <v>0</v>
      </c>
      <c r="M20" s="75">
        <f t="shared" si="6"/>
        <v>0</v>
      </c>
      <c r="N20" s="73">
        <f t="shared" si="7"/>
        <v>0</v>
      </c>
      <c r="O20" s="80">
        <v>3.4000000000000002E-2</v>
      </c>
      <c r="P20" s="73">
        <v>7.6</v>
      </c>
      <c r="Q20" s="78">
        <v>0</v>
      </c>
      <c r="R20" s="131"/>
      <c r="S20" s="141"/>
      <c r="T20" s="354" t="s">
        <v>379</v>
      </c>
      <c r="U20" s="353"/>
      <c r="V20" s="345"/>
      <c r="W20" s="22"/>
      <c r="X20" s="22"/>
      <c r="Y20" s="12"/>
      <c r="Z20" s="12"/>
    </row>
    <row r="21" spans="1:26" ht="20.100000000000001" customHeight="1">
      <c r="A21" s="57" t="s">
        <v>101</v>
      </c>
      <c r="B21" s="34">
        <f>73.63*0.98</f>
        <v>72.157399999999996</v>
      </c>
      <c r="C21" s="34">
        <f t="shared" si="4"/>
        <v>72.157399999999996</v>
      </c>
      <c r="D21" s="34">
        <v>0</v>
      </c>
      <c r="E21" s="34">
        <f>6.24*0.85</f>
        <v>5.3040000000000003</v>
      </c>
      <c r="F21" s="66">
        <f>3.71*0.85</f>
        <v>3.1534999999999997</v>
      </c>
      <c r="G21" s="34">
        <f t="shared" si="0"/>
        <v>0.72157399999999994</v>
      </c>
      <c r="H21" s="66">
        <f t="shared" si="1"/>
        <v>0.16122979999999998</v>
      </c>
      <c r="I21" s="73">
        <v>0</v>
      </c>
      <c r="J21" s="75">
        <v>0.11805</v>
      </c>
      <c r="K21" s="73">
        <f t="shared" si="8"/>
        <v>0.35415000000000002</v>
      </c>
      <c r="L21" s="78">
        <v>0</v>
      </c>
      <c r="M21" s="75">
        <f t="shared" si="6"/>
        <v>0</v>
      </c>
      <c r="N21" s="73">
        <f t="shared" si="7"/>
        <v>0</v>
      </c>
      <c r="O21" s="80">
        <v>0.1075</v>
      </c>
      <c r="P21" s="73">
        <v>2.8</v>
      </c>
      <c r="Q21" s="78">
        <v>0</v>
      </c>
      <c r="R21" s="131"/>
      <c r="S21" s="141"/>
      <c r="T21" s="354" t="s">
        <v>380</v>
      </c>
      <c r="U21" s="355" t="s">
        <v>80</v>
      </c>
      <c r="V21" s="348"/>
      <c r="W21" s="22"/>
      <c r="X21" s="22"/>
      <c r="Y21" s="12"/>
      <c r="Z21" s="12"/>
    </row>
    <row r="22" spans="1:26" ht="20.100000000000001" customHeight="1">
      <c r="A22" s="56" t="s">
        <v>287</v>
      </c>
      <c r="B22" s="34">
        <f>(29.04*1.2)*0.98</f>
        <v>34.151040000000002</v>
      </c>
      <c r="C22" s="34">
        <f t="shared" si="4"/>
        <v>34.151040000000002</v>
      </c>
      <c r="D22" s="34">
        <v>0</v>
      </c>
      <c r="E22" s="34">
        <f>(8.6*1.1)*0.85</f>
        <v>8.0410000000000004</v>
      </c>
      <c r="F22" s="66">
        <f>(2.37*1.1)*0.85</f>
        <v>2.2159500000000003</v>
      </c>
      <c r="G22" s="34">
        <f t="shared" si="0"/>
        <v>0.34151039999999999</v>
      </c>
      <c r="H22" s="66">
        <f t="shared" si="1"/>
        <v>8.8815980000000017E-2</v>
      </c>
      <c r="I22" s="73">
        <v>0</v>
      </c>
      <c r="J22" s="75">
        <v>8.2000000000000003E-2</v>
      </c>
      <c r="K22" s="73">
        <f t="shared" si="8"/>
        <v>0.246</v>
      </c>
      <c r="L22" s="78">
        <v>0</v>
      </c>
      <c r="M22" s="75">
        <f t="shared" si="6"/>
        <v>0</v>
      </c>
      <c r="N22" s="73">
        <f t="shared" si="7"/>
        <v>0</v>
      </c>
      <c r="O22" s="80">
        <f>+((0.05+0.035)/2)*P22</f>
        <v>0.14875000000000002</v>
      </c>
      <c r="P22" s="73">
        <v>3.5</v>
      </c>
      <c r="Q22" s="78">
        <v>0</v>
      </c>
      <c r="R22" s="131"/>
      <c r="S22" s="141"/>
      <c r="T22" s="359" t="s">
        <v>66</v>
      </c>
      <c r="U22" s="355" t="s">
        <v>80</v>
      </c>
      <c r="V22" s="348" t="s">
        <v>246</v>
      </c>
      <c r="W22" s="22"/>
      <c r="X22" s="22"/>
      <c r="Y22" s="12"/>
      <c r="Z22" s="12"/>
    </row>
    <row r="23" spans="1:26" ht="20.100000000000001" customHeight="1">
      <c r="A23" s="57" t="s">
        <v>102</v>
      </c>
      <c r="B23" s="34">
        <f>(23.2*2)*0.98</f>
        <v>45.472000000000001</v>
      </c>
      <c r="C23" s="34">
        <f t="shared" si="4"/>
        <v>45.472000000000001</v>
      </c>
      <c r="D23" s="34">
        <v>0</v>
      </c>
      <c r="E23" s="34">
        <f>(3.92*3)*0.85</f>
        <v>9.9960000000000004</v>
      </c>
      <c r="F23" s="66">
        <f>(1.89*1.3)*0.85</f>
        <v>2.0884499999999999</v>
      </c>
      <c r="G23" s="34">
        <f t="shared" si="0"/>
        <v>0.45472000000000001</v>
      </c>
      <c r="H23" s="66">
        <f t="shared" si="1"/>
        <v>0.11511290000000002</v>
      </c>
      <c r="I23" s="73">
        <v>0</v>
      </c>
      <c r="J23" s="75">
        <v>2.5000000000000001E-2</v>
      </c>
      <c r="K23" s="73">
        <f t="shared" si="8"/>
        <v>7.5000000000000011E-2</v>
      </c>
      <c r="L23" s="78">
        <v>0</v>
      </c>
      <c r="M23" s="75">
        <f t="shared" si="6"/>
        <v>0</v>
      </c>
      <c r="N23" s="73">
        <f t="shared" si="7"/>
        <v>0</v>
      </c>
      <c r="O23" s="81">
        <v>7.0000000000000007E-2</v>
      </c>
      <c r="P23" s="73">
        <v>6.5</v>
      </c>
      <c r="Q23" s="78">
        <v>0</v>
      </c>
      <c r="R23" s="131"/>
      <c r="S23" s="141"/>
      <c r="T23" s="359" t="s">
        <v>66</v>
      </c>
      <c r="U23" s="355" t="s">
        <v>80</v>
      </c>
      <c r="V23" s="348" t="s">
        <v>246</v>
      </c>
      <c r="W23" s="22"/>
      <c r="X23" s="22"/>
      <c r="Y23" s="12"/>
      <c r="Z23" s="12"/>
    </row>
    <row r="24" spans="1:26" ht="20.100000000000001" customHeight="1">
      <c r="A24" s="57" t="s">
        <v>40</v>
      </c>
      <c r="B24" s="34">
        <f>(35*1.15)*0.98</f>
        <v>39.445</v>
      </c>
      <c r="C24" s="34">
        <f t="shared" si="4"/>
        <v>39.445</v>
      </c>
      <c r="D24" s="34">
        <v>0</v>
      </c>
      <c r="E24" s="34">
        <f>(45*15%)*0.85</f>
        <v>5.7374999999999998</v>
      </c>
      <c r="F24" s="66">
        <f>(40*0.85)*0.85</f>
        <v>28.9</v>
      </c>
      <c r="G24" s="34">
        <f>(+(C24+E24+F24+F24)/100*$C$45)</f>
        <v>1.0298249999999998</v>
      </c>
      <c r="H24" s="66">
        <f t="shared" si="1"/>
        <v>0.14816499999999999</v>
      </c>
      <c r="I24" s="73">
        <v>0</v>
      </c>
      <c r="J24" s="75">
        <v>2.3E-2</v>
      </c>
      <c r="K24" s="73">
        <f t="shared" si="8"/>
        <v>6.9000000000000006E-2</v>
      </c>
      <c r="L24" s="78">
        <v>0</v>
      </c>
      <c r="M24" s="75">
        <f t="shared" si="6"/>
        <v>0</v>
      </c>
      <c r="N24" s="73">
        <f t="shared" si="7"/>
        <v>0</v>
      </c>
      <c r="O24" s="80">
        <v>0.125</v>
      </c>
      <c r="P24" s="73">
        <v>0.78</v>
      </c>
      <c r="Q24" s="78">
        <v>0</v>
      </c>
      <c r="R24" s="131"/>
      <c r="S24" s="141"/>
      <c r="T24" s="354" t="s">
        <v>248</v>
      </c>
      <c r="U24" s="353" t="s">
        <v>80</v>
      </c>
      <c r="V24" s="345"/>
      <c r="W24" s="22"/>
      <c r="X24" s="22"/>
      <c r="Y24" s="12"/>
      <c r="Z24" s="12"/>
    </row>
    <row r="25" spans="1:26" ht="20.100000000000001" customHeight="1">
      <c r="A25" s="57" t="s">
        <v>41</v>
      </c>
      <c r="B25" s="34">
        <f>(55*1.1)*0.98</f>
        <v>59.290000000000006</v>
      </c>
      <c r="C25" s="34">
        <f t="shared" si="4"/>
        <v>59.290000000000006</v>
      </c>
      <c r="D25" s="34">
        <v>0</v>
      </c>
      <c r="E25" s="34">
        <f>(45*15%)*0.85</f>
        <v>5.7374999999999998</v>
      </c>
      <c r="F25" s="66">
        <f>(40*0.85)*0.85</f>
        <v>28.9</v>
      </c>
      <c r="G25" s="34">
        <f>(+(C25+E25+F25+F25)/100*$C$45)</f>
        <v>1.2282750000000002</v>
      </c>
      <c r="H25" s="66">
        <f t="shared" si="1"/>
        <v>0.18785500000000002</v>
      </c>
      <c r="I25" s="73">
        <v>0</v>
      </c>
      <c r="J25" s="75">
        <v>2.3E-2</v>
      </c>
      <c r="K25" s="73">
        <f t="shared" si="8"/>
        <v>6.9000000000000006E-2</v>
      </c>
      <c r="L25" s="78">
        <v>0</v>
      </c>
      <c r="M25" s="75">
        <f t="shared" si="6"/>
        <v>0</v>
      </c>
      <c r="N25" s="73">
        <f t="shared" si="7"/>
        <v>0</v>
      </c>
      <c r="O25" s="80">
        <v>0.13500000000000001</v>
      </c>
      <c r="P25" s="73">
        <v>0.8</v>
      </c>
      <c r="Q25" s="78">
        <v>0</v>
      </c>
      <c r="R25" s="131"/>
      <c r="S25" s="141"/>
      <c r="T25" s="354" t="s">
        <v>248</v>
      </c>
      <c r="U25" s="353" t="s">
        <v>80</v>
      </c>
      <c r="V25" s="345"/>
      <c r="W25" s="22"/>
      <c r="X25" s="22"/>
      <c r="Y25" s="12"/>
      <c r="Z25" s="12"/>
    </row>
    <row r="26" spans="1:26" ht="20.100000000000001" customHeight="1" thickBot="1">
      <c r="A26" s="58" t="s">
        <v>39</v>
      </c>
      <c r="B26" s="41">
        <f>(50*1.1)*0.98</f>
        <v>53.900000000000006</v>
      </c>
      <c r="C26" s="41">
        <f t="shared" si="4"/>
        <v>53.900000000000006</v>
      </c>
      <c r="D26" s="41">
        <v>0</v>
      </c>
      <c r="E26" s="41">
        <f>(45*0.15)*0.85</f>
        <v>5.7374999999999998</v>
      </c>
      <c r="F26" s="67">
        <f>(45*0.85)*0.85</f>
        <v>32.512499999999996</v>
      </c>
      <c r="G26" s="41">
        <f>(+(C26+E26+F26+F26)/100*$C$45)</f>
        <v>1.2466249999999999</v>
      </c>
      <c r="H26" s="67">
        <f t="shared" si="1"/>
        <v>0.18430000000000002</v>
      </c>
      <c r="I26" s="74">
        <v>0</v>
      </c>
      <c r="J26" s="76">
        <v>2.3E-2</v>
      </c>
      <c r="K26" s="74">
        <f t="shared" si="8"/>
        <v>6.9000000000000006E-2</v>
      </c>
      <c r="L26" s="79">
        <v>0</v>
      </c>
      <c r="M26" s="76">
        <f t="shared" si="6"/>
        <v>0</v>
      </c>
      <c r="N26" s="74">
        <f t="shared" si="7"/>
        <v>0</v>
      </c>
      <c r="O26" s="82">
        <v>0.16</v>
      </c>
      <c r="P26" s="74">
        <v>1.21</v>
      </c>
      <c r="Q26" s="79">
        <v>0</v>
      </c>
      <c r="R26" s="132"/>
      <c r="S26" s="142"/>
      <c r="T26" s="356" t="s">
        <v>248</v>
      </c>
      <c r="U26" s="360"/>
      <c r="V26" s="358"/>
      <c r="W26" s="22"/>
      <c r="X26" s="22"/>
      <c r="Y26" s="12"/>
      <c r="Z26" s="12"/>
    </row>
    <row r="27" spans="1:26" ht="25.5" customHeight="1">
      <c r="A27" s="57" t="s">
        <v>281</v>
      </c>
      <c r="B27" s="34">
        <f>365.77*0.98</f>
        <v>358.45459999999997</v>
      </c>
      <c r="C27" s="34">
        <f t="shared" si="4"/>
        <v>358.45459999999997</v>
      </c>
      <c r="D27" s="34">
        <v>0</v>
      </c>
      <c r="E27" s="34">
        <f>63.954*0.85</f>
        <v>54.360900000000001</v>
      </c>
      <c r="F27" s="66">
        <f>63.0955*0.85</f>
        <v>53.631174999999999</v>
      </c>
      <c r="G27" s="34">
        <f t="shared" si="0"/>
        <v>3.5845459999999996</v>
      </c>
      <c r="H27" s="66">
        <f t="shared" si="1"/>
        <v>0.93289335000000007</v>
      </c>
      <c r="I27" s="73">
        <v>140</v>
      </c>
      <c r="J27" s="89" t="s">
        <v>442</v>
      </c>
      <c r="K27" s="73"/>
      <c r="L27" s="73">
        <v>7</v>
      </c>
      <c r="M27" s="88" t="s">
        <v>444</v>
      </c>
      <c r="N27" s="73"/>
      <c r="O27" s="75">
        <v>0.14000000000000001</v>
      </c>
      <c r="P27" s="73" t="s">
        <v>124</v>
      </c>
      <c r="Q27" s="78">
        <v>0</v>
      </c>
      <c r="R27" s="133">
        <v>0.4</v>
      </c>
      <c r="S27" s="141" t="s">
        <v>126</v>
      </c>
      <c r="T27" s="354" t="s">
        <v>381</v>
      </c>
      <c r="U27" s="353" t="s">
        <v>80</v>
      </c>
      <c r="V27" s="345"/>
      <c r="W27" s="20"/>
      <c r="X27" s="20"/>
      <c r="Y27" s="12"/>
      <c r="Z27" s="12"/>
    </row>
    <row r="28" spans="1:26" ht="24.75" customHeight="1">
      <c r="A28" s="57" t="s">
        <v>97</v>
      </c>
      <c r="B28" s="34">
        <f>298.07*0.98</f>
        <v>292.10859999999997</v>
      </c>
      <c r="C28" s="34">
        <f t="shared" si="4"/>
        <v>292.10859999999997</v>
      </c>
      <c r="D28" s="34">
        <v>0</v>
      </c>
      <c r="E28" s="34">
        <f>11.951*0.85</f>
        <v>10.15835</v>
      </c>
      <c r="F28" s="66">
        <v>0</v>
      </c>
      <c r="G28" s="34">
        <f t="shared" si="0"/>
        <v>2.9210859999999998</v>
      </c>
      <c r="H28" s="66">
        <f t="shared" si="1"/>
        <v>0.60453389999999996</v>
      </c>
      <c r="I28" s="73">
        <v>200</v>
      </c>
      <c r="J28" s="89" t="s">
        <v>443</v>
      </c>
      <c r="K28" s="73"/>
      <c r="L28" s="73">
        <v>7</v>
      </c>
      <c r="M28" s="73" t="s">
        <v>125</v>
      </c>
      <c r="N28" s="73"/>
      <c r="O28" s="75">
        <v>0.123</v>
      </c>
      <c r="P28" s="73" t="s">
        <v>124</v>
      </c>
      <c r="Q28" s="78">
        <v>0</v>
      </c>
      <c r="R28" s="133">
        <v>0.04</v>
      </c>
      <c r="S28" s="141" t="s">
        <v>126</v>
      </c>
      <c r="T28" s="354" t="s">
        <v>382</v>
      </c>
      <c r="U28" s="353" t="s">
        <v>80</v>
      </c>
      <c r="V28" s="345"/>
      <c r="W28" s="20"/>
      <c r="X28" s="20"/>
      <c r="Y28" s="12"/>
      <c r="Z28" s="12"/>
    </row>
    <row r="29" spans="1:26" ht="20.100000000000001" customHeight="1" thickBot="1">
      <c r="A29" s="58" t="s">
        <v>98</v>
      </c>
      <c r="B29" s="41">
        <f>261*0.98</f>
        <v>255.78</v>
      </c>
      <c r="C29" s="41">
        <f t="shared" si="4"/>
        <v>255.78</v>
      </c>
      <c r="D29" s="41">
        <v>0</v>
      </c>
      <c r="E29" s="41">
        <v>0</v>
      </c>
      <c r="F29" s="67">
        <v>0</v>
      </c>
      <c r="G29" s="41">
        <f t="shared" si="0"/>
        <v>2.5577999999999999</v>
      </c>
      <c r="H29" s="67">
        <f t="shared" si="1"/>
        <v>0.51156000000000001</v>
      </c>
      <c r="I29" s="74">
        <v>0</v>
      </c>
      <c r="J29" s="74">
        <v>0</v>
      </c>
      <c r="K29" s="74">
        <f>+$C$40*J29</f>
        <v>0</v>
      </c>
      <c r="L29" s="79">
        <v>0</v>
      </c>
      <c r="M29" s="74">
        <f>IF(L29&gt;0,1/((+$C$38+$C$39)/2/L29),0)</f>
        <v>0</v>
      </c>
      <c r="N29" s="74">
        <f t="shared" si="7"/>
        <v>0</v>
      </c>
      <c r="O29" s="76">
        <v>0</v>
      </c>
      <c r="P29" s="74"/>
      <c r="Q29" s="79">
        <v>0</v>
      </c>
      <c r="R29" s="132"/>
      <c r="S29" s="142"/>
      <c r="T29" s="356" t="s">
        <v>383</v>
      </c>
      <c r="U29" s="360" t="s">
        <v>80</v>
      </c>
      <c r="V29" s="358"/>
      <c r="W29" s="22"/>
      <c r="X29" s="22"/>
      <c r="Y29" s="12"/>
      <c r="Z29" s="12"/>
    </row>
    <row r="30" spans="1:26" ht="20.100000000000001" customHeight="1">
      <c r="A30" s="60" t="s">
        <v>43</v>
      </c>
      <c r="B30" s="45"/>
      <c r="C30" s="94">
        <f>+P40</f>
        <v>20</v>
      </c>
      <c r="D30" s="46"/>
      <c r="E30" s="94">
        <f>+Q40</f>
        <v>10</v>
      </c>
      <c r="F30" s="301">
        <f>+R40</f>
        <v>6</v>
      </c>
      <c r="G30" s="302"/>
      <c r="H30" s="303"/>
      <c r="I30" s="304" t="s">
        <v>104</v>
      </c>
      <c r="J30" s="304"/>
      <c r="K30" s="304"/>
      <c r="L30" s="305"/>
      <c r="M30" s="304"/>
      <c r="N30" s="304"/>
      <c r="O30" s="304"/>
      <c r="P30" s="304"/>
      <c r="Q30" s="305"/>
      <c r="R30" s="306"/>
      <c r="S30" s="141"/>
      <c r="T30" s="359"/>
      <c r="U30" s="353"/>
      <c r="V30" s="345"/>
      <c r="W30" s="23"/>
      <c r="X30" s="23"/>
      <c r="Y30" s="12"/>
      <c r="Z30" s="12"/>
    </row>
    <row r="31" spans="1:26" ht="20.100000000000001" customHeight="1" thickBot="1">
      <c r="A31" s="58" t="s">
        <v>99</v>
      </c>
      <c r="B31" s="41">
        <v>1924.5</v>
      </c>
      <c r="C31" s="382">
        <f>+B31+D31</f>
        <v>1924.5</v>
      </c>
      <c r="D31" s="41">
        <v>0</v>
      </c>
      <c r="E31" s="41">
        <v>967.8</v>
      </c>
      <c r="F31" s="67">
        <v>700</v>
      </c>
      <c r="G31" s="382">
        <f>(+C31/100*$C$46)+(E31/100*$E$46)+(F31/100*$F$46)</f>
        <v>79.319000000000003</v>
      </c>
      <c r="H31" s="383">
        <f>(C31+E31+F31)/100*$C$48</f>
        <v>7.1846000000000005</v>
      </c>
      <c r="I31" s="384">
        <v>640</v>
      </c>
      <c r="J31" s="384">
        <v>20</v>
      </c>
      <c r="K31" s="384">
        <f>+$C$40*J31</f>
        <v>100</v>
      </c>
      <c r="L31" s="385">
        <v>30400</v>
      </c>
      <c r="M31" s="384">
        <f>IF(L31&gt;0,1/((+$C$38+$C$39)/2/L31),0)</f>
        <v>0.32530765115034777</v>
      </c>
      <c r="N31" s="384">
        <f>+$C$37*M31</f>
        <v>162.65382557517387</v>
      </c>
      <c r="O31" s="384">
        <v>3</v>
      </c>
      <c r="P31" s="384"/>
      <c r="Q31" s="385">
        <v>0</v>
      </c>
      <c r="R31" s="386"/>
      <c r="S31" s="142"/>
      <c r="T31" s="356" t="s">
        <v>160</v>
      </c>
      <c r="U31" s="357" t="s">
        <v>244</v>
      </c>
      <c r="V31" s="358"/>
      <c r="W31" s="22"/>
      <c r="X31" s="22"/>
      <c r="Y31" s="12"/>
      <c r="Z31" s="12"/>
    </row>
    <row r="32" spans="1:26" ht="20.100000000000001" customHeight="1">
      <c r="A32" s="60" t="s">
        <v>43</v>
      </c>
      <c r="B32" s="45"/>
      <c r="C32" s="94">
        <f>+P41</f>
        <v>20</v>
      </c>
      <c r="D32" s="46"/>
      <c r="E32" s="46"/>
      <c r="F32" s="68"/>
      <c r="G32" s="302"/>
      <c r="H32" s="307"/>
      <c r="I32" s="304"/>
      <c r="J32" s="304"/>
      <c r="K32" s="304"/>
      <c r="L32" s="305"/>
      <c r="M32" s="304"/>
      <c r="N32" s="304"/>
      <c r="O32" s="304"/>
      <c r="P32" s="304"/>
      <c r="Q32" s="305"/>
      <c r="R32" s="306"/>
      <c r="S32" s="141"/>
      <c r="T32" s="359"/>
      <c r="U32" s="353"/>
      <c r="V32" s="345"/>
      <c r="W32" s="23"/>
      <c r="X32" s="23"/>
      <c r="Y32" s="12"/>
      <c r="Z32" s="12"/>
    </row>
    <row r="33" spans="1:26" ht="20.100000000000001" customHeight="1">
      <c r="A33" s="123" t="s">
        <v>100</v>
      </c>
      <c r="B33" s="124">
        <v>800</v>
      </c>
      <c r="C33" s="124">
        <f>+B33+D33</f>
        <v>800</v>
      </c>
      <c r="D33" s="124"/>
      <c r="E33" s="124"/>
      <c r="F33" s="125"/>
      <c r="G33" s="308">
        <f>(+'Erfassung DkfL'!N25/100*$C$47)</f>
        <v>10.460299999999998</v>
      </c>
      <c r="H33" s="309"/>
      <c r="I33" s="310">
        <v>0</v>
      </c>
      <c r="J33" s="310">
        <v>0</v>
      </c>
      <c r="K33" s="310">
        <f>+$C$40*J33</f>
        <v>0</v>
      </c>
      <c r="L33" s="311">
        <v>0</v>
      </c>
      <c r="M33" s="310">
        <f>IF(L33&gt;0,1/((+$C$38+$C$39)/2/L33),0)</f>
        <v>0</v>
      </c>
      <c r="N33" s="310">
        <f>+$C$37*M33</f>
        <v>0</v>
      </c>
      <c r="O33" s="310">
        <v>1</v>
      </c>
      <c r="P33" s="310"/>
      <c r="Q33" s="311">
        <v>0</v>
      </c>
      <c r="R33" s="312">
        <v>850</v>
      </c>
      <c r="S33" s="143"/>
      <c r="T33" s="361" t="s">
        <v>80</v>
      </c>
      <c r="U33" s="362"/>
      <c r="V33" s="363"/>
      <c r="W33" s="22"/>
      <c r="X33" s="22"/>
      <c r="Y33" s="12"/>
      <c r="Z33" s="12"/>
    </row>
    <row r="34" spans="1:26" ht="20.100000000000001" customHeight="1" thickBot="1">
      <c r="A34" s="38"/>
      <c r="B34" s="13"/>
      <c r="C34" s="34"/>
      <c r="D34" s="34"/>
      <c r="E34" s="34"/>
      <c r="F34" s="34"/>
      <c r="G34" s="34"/>
      <c r="H34" s="34"/>
      <c r="I34" s="34"/>
      <c r="J34" s="34"/>
      <c r="K34" s="34"/>
      <c r="L34" s="36"/>
      <c r="M34" s="34"/>
      <c r="N34" s="34"/>
      <c r="O34" s="34"/>
      <c r="P34" s="34"/>
      <c r="Q34" s="36"/>
      <c r="R34" s="36"/>
      <c r="S34" s="151"/>
      <c r="T34" s="84"/>
      <c r="U34" s="84"/>
      <c r="V34" s="84"/>
      <c r="W34" s="23"/>
      <c r="X34" s="23"/>
      <c r="Y34" s="12"/>
      <c r="Z34" s="12"/>
    </row>
    <row r="35" spans="1:26" ht="20.100000000000001" customHeight="1">
      <c r="A35" s="389" t="s">
        <v>481</v>
      </c>
      <c r="B35" s="389"/>
      <c r="C35" s="389"/>
      <c r="D35" s="389"/>
      <c r="E35" s="389"/>
      <c r="F35" s="390"/>
      <c r="G35" s="114" t="s">
        <v>56</v>
      </c>
      <c r="H35" s="16"/>
      <c r="I35" s="16"/>
      <c r="J35" s="16"/>
      <c r="K35" s="16"/>
      <c r="L35" s="16"/>
      <c r="M35" s="16"/>
      <c r="N35" s="115" t="s">
        <v>53</v>
      </c>
      <c r="O35" s="116"/>
      <c r="P35" s="117" t="s">
        <v>57</v>
      </c>
      <c r="Q35" s="117" t="s">
        <v>57</v>
      </c>
      <c r="R35" s="117" t="s">
        <v>57</v>
      </c>
      <c r="S35" s="152"/>
      <c r="T35" s="84"/>
      <c r="U35" s="84"/>
      <c r="V35" s="84"/>
      <c r="W35" s="18"/>
      <c r="X35" s="18"/>
      <c r="Y35" s="12"/>
      <c r="Z35" s="12"/>
    </row>
    <row r="36" spans="1:26" ht="20.100000000000001" customHeight="1">
      <c r="A36" s="391" t="s">
        <v>59</v>
      </c>
      <c r="B36" s="391"/>
      <c r="C36" s="391"/>
      <c r="D36" s="391"/>
      <c r="E36" s="391"/>
      <c r="F36" s="148"/>
      <c r="G36" s="16"/>
      <c r="H36" s="16"/>
      <c r="I36" s="16"/>
      <c r="J36" s="16"/>
      <c r="K36" s="16"/>
      <c r="L36" s="16"/>
      <c r="M36" s="16"/>
      <c r="N36" s="118"/>
      <c r="O36" s="16"/>
      <c r="P36" s="26" t="s">
        <v>0</v>
      </c>
      <c r="Q36" s="26" t="s">
        <v>1</v>
      </c>
      <c r="R36" s="26" t="s">
        <v>2</v>
      </c>
      <c r="S36" s="144"/>
      <c r="T36" s="84"/>
      <c r="U36" s="84"/>
      <c r="V36" s="84"/>
      <c r="W36" s="18"/>
      <c r="X36" s="18"/>
      <c r="Y36" s="12"/>
      <c r="Z36" s="12"/>
    </row>
    <row r="37" spans="1:26" ht="20.100000000000001" customHeight="1">
      <c r="A37" s="38" t="s">
        <v>51</v>
      </c>
      <c r="B37" s="44" t="s">
        <v>423</v>
      </c>
      <c r="C37" s="95">
        <v>500</v>
      </c>
      <c r="D37" s="96" t="s">
        <v>8</v>
      </c>
      <c r="E37" s="44" t="s">
        <v>424</v>
      </c>
      <c r="F37" s="97">
        <v>350</v>
      </c>
      <c r="G37" s="47"/>
      <c r="H37" s="47"/>
      <c r="I37" s="47"/>
      <c r="J37" s="47"/>
      <c r="K37" s="47"/>
      <c r="L37" s="47"/>
      <c r="M37" s="47"/>
      <c r="N37" s="121" t="s">
        <v>52</v>
      </c>
      <c r="O37" s="37"/>
      <c r="P37" s="371">
        <v>30</v>
      </c>
      <c r="Q37" s="371">
        <v>15</v>
      </c>
      <c r="R37" s="371">
        <v>10</v>
      </c>
      <c r="S37" s="145"/>
      <c r="T37" s="364"/>
      <c r="U37" s="364"/>
      <c r="V37" s="364"/>
      <c r="W37" s="90"/>
      <c r="X37" s="90"/>
      <c r="Y37" s="12"/>
      <c r="Z37" s="12"/>
    </row>
    <row r="38" spans="1:26" ht="20.100000000000001" customHeight="1">
      <c r="A38" s="32" t="s">
        <v>384</v>
      </c>
      <c r="B38" s="98"/>
      <c r="C38" s="99">
        <v>73900</v>
      </c>
      <c r="D38" s="96" t="s">
        <v>20</v>
      </c>
      <c r="E38" s="99">
        <v>124836</v>
      </c>
      <c r="F38" s="96" t="s">
        <v>316</v>
      </c>
      <c r="G38" s="37" t="s">
        <v>386</v>
      </c>
      <c r="H38" s="37"/>
      <c r="I38" s="37"/>
      <c r="J38" s="37"/>
      <c r="K38" s="37"/>
      <c r="L38" s="37"/>
      <c r="M38" s="37"/>
      <c r="N38" s="121" t="s">
        <v>58</v>
      </c>
      <c r="O38" s="37"/>
      <c r="P38" s="371">
        <v>30</v>
      </c>
      <c r="Q38" s="371">
        <v>15</v>
      </c>
      <c r="R38" s="371">
        <v>10</v>
      </c>
      <c r="S38" s="145"/>
      <c r="T38" s="364"/>
      <c r="U38" s="364"/>
      <c r="V38" s="364"/>
      <c r="W38" s="90"/>
      <c r="X38" s="90"/>
      <c r="Y38" s="12"/>
      <c r="Z38" s="12"/>
    </row>
    <row r="39" spans="1:26" ht="20.100000000000001" customHeight="1">
      <c r="A39" s="32" t="s">
        <v>446</v>
      </c>
      <c r="B39" s="98"/>
      <c r="C39" s="99">
        <v>113000</v>
      </c>
      <c r="D39" s="96" t="s">
        <v>20</v>
      </c>
      <c r="E39" s="99">
        <v>187000</v>
      </c>
      <c r="F39" s="96" t="s">
        <v>316</v>
      </c>
      <c r="G39" s="37" t="s">
        <v>385</v>
      </c>
      <c r="H39" s="37"/>
      <c r="I39" s="37"/>
      <c r="J39" s="37"/>
      <c r="K39" s="37"/>
      <c r="L39" s="37"/>
      <c r="M39" s="37"/>
      <c r="N39" s="121" t="s">
        <v>54</v>
      </c>
      <c r="O39" s="37"/>
      <c r="P39" s="371">
        <v>30</v>
      </c>
      <c r="Q39" s="371">
        <v>15</v>
      </c>
      <c r="R39" s="371">
        <v>10</v>
      </c>
      <c r="S39" s="145"/>
      <c r="T39" s="364"/>
      <c r="U39" s="364"/>
      <c r="V39" s="364"/>
      <c r="W39" s="90"/>
      <c r="X39" s="90"/>
      <c r="Y39" s="12"/>
      <c r="Z39" s="12"/>
    </row>
    <row r="40" spans="1:26" ht="20.100000000000001" customHeight="1">
      <c r="A40" s="38" t="s">
        <v>32</v>
      </c>
      <c r="B40" s="98"/>
      <c r="C40" s="95">
        <v>5</v>
      </c>
      <c r="D40" s="96" t="s">
        <v>8</v>
      </c>
      <c r="E40" s="32"/>
      <c r="F40" s="96"/>
      <c r="G40" s="37" t="s">
        <v>317</v>
      </c>
      <c r="H40" s="37"/>
      <c r="I40" s="37"/>
      <c r="J40" s="37"/>
      <c r="K40" s="37"/>
      <c r="L40" s="37"/>
      <c r="M40" s="37"/>
      <c r="N40" s="121" t="s">
        <v>55</v>
      </c>
      <c r="O40" s="37"/>
      <c r="P40" s="371">
        <v>20</v>
      </c>
      <c r="Q40" s="371">
        <v>10</v>
      </c>
      <c r="R40" s="371">
        <v>6</v>
      </c>
      <c r="S40" s="145"/>
      <c r="T40" s="364"/>
      <c r="U40" s="364"/>
      <c r="V40" s="364"/>
      <c r="W40" s="90"/>
      <c r="X40" s="90"/>
      <c r="Y40" s="12"/>
      <c r="Z40" s="12"/>
    </row>
    <row r="41" spans="1:26" ht="20.100000000000001" customHeight="1" thickBot="1">
      <c r="A41" s="38" t="s">
        <v>33</v>
      </c>
      <c r="B41" s="98"/>
      <c r="C41" s="95">
        <v>3</v>
      </c>
      <c r="D41" s="96" t="s">
        <v>8</v>
      </c>
      <c r="E41" s="32"/>
      <c r="F41" s="96"/>
      <c r="G41" s="37" t="s">
        <v>144</v>
      </c>
      <c r="H41" s="37"/>
      <c r="I41" s="37"/>
      <c r="J41" s="37"/>
      <c r="K41" s="37"/>
      <c r="L41" s="37"/>
      <c r="M41" s="37"/>
      <c r="N41" s="122" t="s">
        <v>63</v>
      </c>
      <c r="O41" s="42"/>
      <c r="P41" s="372">
        <v>20</v>
      </c>
      <c r="Q41" s="372"/>
      <c r="R41" s="372"/>
      <c r="S41" s="145"/>
      <c r="T41" s="364"/>
      <c r="U41" s="364"/>
      <c r="V41" s="364"/>
      <c r="W41" s="90"/>
      <c r="X41" s="90"/>
      <c r="Y41" s="12"/>
      <c r="Z41" s="12"/>
    </row>
    <row r="42" spans="1:26" ht="20.100000000000001" customHeight="1">
      <c r="A42" s="32" t="s">
        <v>249</v>
      </c>
      <c r="B42" s="98"/>
      <c r="C42" s="95">
        <v>64.44</v>
      </c>
      <c r="D42" s="96" t="s">
        <v>105</v>
      </c>
      <c r="E42" s="32"/>
      <c r="F42" s="96"/>
      <c r="G42" s="37" t="s">
        <v>387</v>
      </c>
      <c r="H42" s="37"/>
      <c r="I42" s="37"/>
      <c r="J42" s="37"/>
      <c r="K42" s="37"/>
      <c r="L42" s="37"/>
      <c r="M42" s="37"/>
      <c r="N42" s="373" t="s">
        <v>122</v>
      </c>
      <c r="O42" s="120"/>
      <c r="P42" s="374" t="s">
        <v>21</v>
      </c>
      <c r="Q42" s="374"/>
      <c r="R42" s="374"/>
      <c r="S42" s="145"/>
      <c r="T42" s="364"/>
      <c r="U42" s="364"/>
      <c r="V42" s="364"/>
      <c r="W42" s="90"/>
      <c r="X42" s="90"/>
      <c r="Y42" s="12"/>
      <c r="Z42" s="12"/>
    </row>
    <row r="43" spans="1:26" ht="20.100000000000001" customHeight="1">
      <c r="A43" s="38" t="s">
        <v>107</v>
      </c>
      <c r="B43" s="98"/>
      <c r="C43" s="95">
        <v>9</v>
      </c>
      <c r="D43" s="96" t="s">
        <v>106</v>
      </c>
      <c r="E43" s="32"/>
      <c r="F43" s="96"/>
      <c r="G43" s="37" t="s">
        <v>318</v>
      </c>
      <c r="H43" s="37"/>
      <c r="I43" s="37"/>
      <c r="J43" s="37"/>
      <c r="K43" s="37"/>
      <c r="L43" s="37"/>
      <c r="M43" s="37"/>
      <c r="N43" s="121" t="s">
        <v>120</v>
      </c>
      <c r="O43" s="37"/>
      <c r="P43" s="135">
        <v>1.6</v>
      </c>
      <c r="Q43" s="375" t="s">
        <v>123</v>
      </c>
      <c r="R43" s="371"/>
      <c r="S43" s="145"/>
      <c r="T43" s="364"/>
      <c r="U43" s="364"/>
      <c r="V43" s="364"/>
      <c r="W43" s="90"/>
      <c r="X43" s="90"/>
      <c r="Y43" s="12"/>
      <c r="Z43" s="12"/>
    </row>
    <row r="44" spans="1:26" ht="20.100000000000001" customHeight="1" thickBot="1">
      <c r="A44" s="38" t="s">
        <v>18</v>
      </c>
      <c r="B44" s="98"/>
      <c r="C44" s="95">
        <v>15</v>
      </c>
      <c r="D44" s="96" t="s">
        <v>8</v>
      </c>
      <c r="E44" s="32"/>
      <c r="F44" s="96"/>
      <c r="G44" s="37" t="s">
        <v>319</v>
      </c>
      <c r="H44" s="37"/>
      <c r="I44" s="37"/>
      <c r="J44" s="37"/>
      <c r="K44" s="37"/>
      <c r="L44" s="37"/>
      <c r="M44" s="37"/>
      <c r="N44" s="122" t="s">
        <v>121</v>
      </c>
      <c r="O44" s="42"/>
      <c r="P44" s="376">
        <v>4</v>
      </c>
      <c r="Q44" s="377" t="s">
        <v>123</v>
      </c>
      <c r="R44" s="372"/>
      <c r="S44" s="145"/>
      <c r="T44" s="364"/>
      <c r="U44" s="364"/>
      <c r="V44" s="364"/>
      <c r="W44" s="90"/>
      <c r="X44" s="90"/>
      <c r="Y44" s="12"/>
      <c r="Z44" s="12"/>
    </row>
    <row r="45" spans="1:26" ht="27" customHeight="1">
      <c r="A45" s="113" t="s">
        <v>447</v>
      </c>
      <c r="B45" s="98"/>
      <c r="C45" s="95">
        <v>1</v>
      </c>
      <c r="D45" s="97" t="s">
        <v>21</v>
      </c>
      <c r="E45" s="95">
        <v>0</v>
      </c>
      <c r="F45" s="368">
        <v>0</v>
      </c>
      <c r="G45" s="37" t="s">
        <v>388</v>
      </c>
      <c r="H45" s="37"/>
      <c r="I45" s="37"/>
      <c r="J45" s="37"/>
      <c r="K45" s="37"/>
      <c r="L45" s="37"/>
      <c r="M45" s="37"/>
      <c r="N45" s="373" t="s">
        <v>91</v>
      </c>
      <c r="O45" s="120"/>
      <c r="P45" s="120"/>
      <c r="Q45" s="120"/>
      <c r="R45" s="120"/>
      <c r="S45" s="145"/>
      <c r="T45" s="364"/>
      <c r="U45" s="364"/>
      <c r="V45" s="364"/>
      <c r="W45" s="90"/>
      <c r="X45" s="90"/>
      <c r="Y45" s="12"/>
      <c r="Z45" s="12"/>
    </row>
    <row r="46" spans="1:26" ht="20.100000000000001" customHeight="1">
      <c r="A46" s="38" t="s">
        <v>129</v>
      </c>
      <c r="B46" s="98"/>
      <c r="C46" s="95">
        <v>1.8</v>
      </c>
      <c r="D46" s="97" t="s">
        <v>21</v>
      </c>
      <c r="E46" s="95">
        <v>1</v>
      </c>
      <c r="F46" s="368">
        <v>5</v>
      </c>
      <c r="G46" s="37" t="s">
        <v>145</v>
      </c>
      <c r="H46" s="37"/>
      <c r="I46" s="37"/>
      <c r="J46" s="37"/>
      <c r="K46" s="37"/>
      <c r="L46" s="37"/>
      <c r="M46" s="37"/>
      <c r="N46" s="121" t="s">
        <v>158</v>
      </c>
      <c r="O46" s="37"/>
      <c r="P46" s="37"/>
      <c r="Q46" s="37"/>
      <c r="R46" s="37"/>
      <c r="S46" s="145"/>
      <c r="T46" s="364"/>
      <c r="U46" s="364"/>
      <c r="V46" s="364"/>
      <c r="W46" s="90"/>
      <c r="X46" s="90"/>
      <c r="Y46" s="12"/>
      <c r="Z46" s="12"/>
    </row>
    <row r="47" spans="1:26" ht="26.25" customHeight="1">
      <c r="A47" s="38" t="s">
        <v>119</v>
      </c>
      <c r="B47" s="98"/>
      <c r="C47" s="369">
        <v>10</v>
      </c>
      <c r="D47" s="100" t="s">
        <v>445</v>
      </c>
      <c r="E47" s="95"/>
      <c r="F47" s="370">
        <v>0.36</v>
      </c>
      <c r="G47" s="37" t="s">
        <v>174</v>
      </c>
      <c r="H47" s="37"/>
      <c r="I47" s="37"/>
      <c r="J47" s="37"/>
      <c r="K47" s="37"/>
      <c r="L47" s="37"/>
      <c r="M47" s="37"/>
      <c r="N47" s="121" t="s">
        <v>113</v>
      </c>
      <c r="O47" s="37"/>
      <c r="P47" s="37"/>
      <c r="Q47" s="37"/>
      <c r="R47" s="37"/>
      <c r="S47" s="145"/>
      <c r="T47" s="364"/>
      <c r="U47" s="364"/>
      <c r="V47" s="364"/>
      <c r="W47" s="90"/>
      <c r="X47" s="90"/>
      <c r="Y47" s="12"/>
      <c r="Z47" s="12"/>
    </row>
    <row r="48" spans="1:26" ht="32.25" customHeight="1">
      <c r="A48" s="113" t="s">
        <v>448</v>
      </c>
      <c r="B48" s="98"/>
      <c r="C48" s="95">
        <v>0.2</v>
      </c>
      <c r="D48" s="96" t="s">
        <v>112</v>
      </c>
      <c r="E48" s="32"/>
      <c r="F48" s="96"/>
      <c r="G48" s="37" t="s">
        <v>320</v>
      </c>
      <c r="H48" s="37"/>
      <c r="I48" s="37"/>
      <c r="J48" s="37"/>
      <c r="K48" s="37"/>
      <c r="L48" s="37"/>
      <c r="M48" s="37"/>
      <c r="N48" s="121" t="s">
        <v>159</v>
      </c>
      <c r="O48" s="37"/>
      <c r="P48" s="37"/>
      <c r="Q48" s="37"/>
      <c r="R48" s="37"/>
      <c r="S48" s="145"/>
      <c r="T48" s="364"/>
      <c r="U48" s="364"/>
      <c r="V48" s="364"/>
      <c r="W48" s="90"/>
      <c r="X48" s="90"/>
      <c r="Y48" s="12"/>
      <c r="Z48" s="12"/>
    </row>
    <row r="49" spans="1:26" ht="20.100000000000001" customHeight="1" thickBot="1">
      <c r="A49" s="38" t="s">
        <v>89</v>
      </c>
      <c r="B49" s="98"/>
      <c r="C49" s="95">
        <v>4</v>
      </c>
      <c r="D49" s="96" t="s">
        <v>21</v>
      </c>
      <c r="E49" s="32"/>
      <c r="F49" s="96"/>
      <c r="G49" s="37"/>
      <c r="H49" s="37"/>
      <c r="I49" s="37"/>
      <c r="J49" s="37"/>
      <c r="K49" s="37"/>
      <c r="L49" s="37"/>
      <c r="M49" s="37"/>
      <c r="N49" s="122"/>
      <c r="O49" s="42"/>
      <c r="P49" s="42"/>
      <c r="Q49" s="42"/>
      <c r="R49" s="42"/>
      <c r="S49" s="145"/>
      <c r="T49" s="364"/>
      <c r="U49" s="364"/>
      <c r="V49" s="364"/>
      <c r="W49" s="90"/>
      <c r="X49" s="90"/>
      <c r="Y49" s="12"/>
      <c r="Z49" s="12"/>
    </row>
    <row r="50" spans="1:26" ht="20.100000000000001" customHeight="1">
      <c r="A50" s="32" t="s">
        <v>389</v>
      </c>
      <c r="B50" s="98"/>
      <c r="C50" s="101" t="s">
        <v>390</v>
      </c>
      <c r="D50" s="96"/>
      <c r="E50" s="32"/>
      <c r="F50" s="96"/>
      <c r="G50" s="37"/>
      <c r="H50" s="37"/>
      <c r="I50" s="37"/>
      <c r="J50" s="37"/>
      <c r="K50" s="37"/>
      <c r="L50" s="37"/>
      <c r="M50" s="37"/>
      <c r="N50" s="373" t="s">
        <v>64</v>
      </c>
      <c r="O50" s="119" t="s">
        <v>90</v>
      </c>
      <c r="P50" s="120"/>
      <c r="Q50" s="120"/>
      <c r="R50" s="119" t="s">
        <v>21</v>
      </c>
      <c r="S50" s="145"/>
      <c r="T50" s="364"/>
      <c r="U50" s="364"/>
      <c r="V50" s="364"/>
      <c r="W50" s="90"/>
      <c r="X50" s="90"/>
      <c r="Y50" s="12"/>
      <c r="Z50" s="12"/>
    </row>
    <row r="51" spans="1:26" ht="20.100000000000001" customHeight="1">
      <c r="A51" s="38" t="s">
        <v>22</v>
      </c>
      <c r="B51" s="98"/>
      <c r="C51" s="95">
        <v>7.5</v>
      </c>
      <c r="D51" s="96" t="s">
        <v>21</v>
      </c>
      <c r="E51" s="32"/>
      <c r="F51" s="96"/>
      <c r="G51" s="37" t="s">
        <v>399</v>
      </c>
      <c r="H51" s="37"/>
      <c r="I51" s="37"/>
      <c r="J51" s="37"/>
      <c r="K51" s="37"/>
      <c r="L51" s="37"/>
      <c r="M51" s="37"/>
      <c r="N51" s="121" t="s">
        <v>65</v>
      </c>
      <c r="O51" s="33">
        <v>1</v>
      </c>
      <c r="P51" s="37" t="s">
        <v>89</v>
      </c>
      <c r="Q51" s="37"/>
      <c r="R51" s="135">
        <v>4</v>
      </c>
      <c r="S51" s="145"/>
      <c r="T51" s="364"/>
      <c r="U51" s="364"/>
      <c r="V51" s="364"/>
      <c r="W51" s="90"/>
      <c r="X51" s="90"/>
      <c r="Y51" s="12"/>
      <c r="Z51" s="12"/>
    </row>
    <row r="52" spans="1:26" ht="20.100000000000001" customHeight="1" thickBot="1">
      <c r="A52" s="39" t="s">
        <v>29</v>
      </c>
      <c r="B52" s="102"/>
      <c r="C52" s="103">
        <v>0</v>
      </c>
      <c r="D52" s="104" t="s">
        <v>21</v>
      </c>
      <c r="E52" s="43"/>
      <c r="F52" s="104"/>
      <c r="G52" s="42" t="s">
        <v>111</v>
      </c>
      <c r="H52" s="42"/>
      <c r="I52" s="42"/>
      <c r="J52" s="42"/>
      <c r="K52" s="42"/>
      <c r="L52" s="42"/>
      <c r="M52" s="42"/>
      <c r="N52" s="122" t="s">
        <v>86</v>
      </c>
      <c r="O52" s="42" t="s">
        <v>87</v>
      </c>
      <c r="P52" s="42"/>
      <c r="Q52" s="42"/>
      <c r="R52" s="42"/>
      <c r="S52" s="145"/>
      <c r="T52" s="83"/>
      <c r="U52" s="83"/>
      <c r="V52" s="83"/>
      <c r="W52" s="90"/>
      <c r="X52" s="90"/>
      <c r="Y52" s="12"/>
      <c r="Z52" s="12"/>
    </row>
    <row r="53" spans="1:26" ht="32.25" customHeight="1" thickBot="1">
      <c r="A53" s="93" t="s">
        <v>350</v>
      </c>
      <c r="B53" s="105">
        <f>35*0.98</f>
        <v>34.299999999999997</v>
      </c>
      <c r="C53" s="105">
        <f>+B53+D53</f>
        <v>34.299999999999997</v>
      </c>
      <c r="D53" s="105">
        <v>0</v>
      </c>
      <c r="E53" s="105">
        <f>(45*0.15)*0.85</f>
        <v>5.7374999999999998</v>
      </c>
      <c r="F53" s="105">
        <f>(45*0.85)*0.85</f>
        <v>32.512499999999996</v>
      </c>
      <c r="G53" s="105">
        <f>(+C53/100*$C$45)+(E53/100*$E$45)+(F53/100*$F$45)</f>
        <v>0.34299999999999997</v>
      </c>
      <c r="H53" s="105">
        <f>(C53+E53+F53)/100*$C$48</f>
        <v>0.14509999999999998</v>
      </c>
      <c r="I53" s="105">
        <v>0</v>
      </c>
      <c r="J53" s="106">
        <v>2.3E-2</v>
      </c>
      <c r="K53" s="105">
        <f>+$C$41*J53</f>
        <v>6.9000000000000006E-2</v>
      </c>
      <c r="L53" s="107">
        <v>0</v>
      </c>
      <c r="M53" s="105">
        <f>IF(L53&gt;0,1/((+$C$38+$C$39)/2/L53),0)</f>
        <v>0</v>
      </c>
      <c r="N53" s="105">
        <f>+$C$37*M53</f>
        <v>0</v>
      </c>
      <c r="O53" s="108">
        <v>0.11</v>
      </c>
      <c r="P53" s="105">
        <v>0.78</v>
      </c>
      <c r="Q53" s="107">
        <v>0</v>
      </c>
      <c r="R53" s="107"/>
      <c r="S53" s="146"/>
      <c r="T53" s="365" t="s">
        <v>157</v>
      </c>
      <c r="U53" s="365" t="s">
        <v>80</v>
      </c>
      <c r="V53" s="365"/>
      <c r="W53" s="25"/>
      <c r="X53" s="25"/>
      <c r="Y53" s="12"/>
      <c r="Z53" s="12"/>
    </row>
    <row r="54" spans="1:26" ht="20.100000000000001" customHeight="1">
      <c r="A54" s="44" t="s">
        <v>138</v>
      </c>
      <c r="B54" s="33">
        <v>1750</v>
      </c>
      <c r="C54" s="33">
        <f>+B54+D54</f>
        <v>1750</v>
      </c>
      <c r="D54" s="33"/>
      <c r="E54" s="33"/>
      <c r="F54" s="33"/>
      <c r="G54" s="33">
        <f>(+'Erfassung DkfL'!N46/100*$C$47)</f>
        <v>0</v>
      </c>
      <c r="H54" s="33"/>
      <c r="I54" s="33">
        <v>0</v>
      </c>
      <c r="J54" s="33">
        <v>0</v>
      </c>
      <c r="K54" s="33">
        <f>+$C$40*J54</f>
        <v>0</v>
      </c>
      <c r="L54" s="35">
        <v>0</v>
      </c>
      <c r="M54" s="33">
        <f>IF(L54&gt;0,1/((+$C$38+$C$39)/2/L54),0)</f>
        <v>0</v>
      </c>
      <c r="N54" s="33">
        <f>+$C$37*M54</f>
        <v>0</v>
      </c>
      <c r="O54" s="110">
        <v>2.5000000000000001E-4</v>
      </c>
      <c r="P54" s="33"/>
      <c r="Q54" s="35">
        <v>0</v>
      </c>
      <c r="R54" s="35"/>
      <c r="S54" s="146"/>
      <c r="T54" s="85" t="s">
        <v>80</v>
      </c>
      <c r="U54" s="85"/>
      <c r="V54" s="85"/>
      <c r="W54" s="25"/>
      <c r="X54" s="25"/>
      <c r="Y54" s="12"/>
      <c r="Z54" s="12"/>
    </row>
    <row r="55" spans="1:26" ht="30.75" customHeight="1">
      <c r="A55" s="378" t="s">
        <v>482</v>
      </c>
      <c r="B55" s="37"/>
      <c r="C55" s="33">
        <v>0.01</v>
      </c>
      <c r="D55" s="33"/>
      <c r="E55" s="95" t="s">
        <v>169</v>
      </c>
      <c r="F55" s="33">
        <v>0.52</v>
      </c>
      <c r="G55" s="37" t="s">
        <v>139</v>
      </c>
      <c r="H55" s="379">
        <v>16.3</v>
      </c>
      <c r="I55" s="37" t="s">
        <v>57</v>
      </c>
      <c r="J55" s="37" t="s">
        <v>141</v>
      </c>
      <c r="K55" s="37"/>
      <c r="L55" s="380">
        <v>7.5</v>
      </c>
      <c r="M55" s="37" t="s">
        <v>143</v>
      </c>
      <c r="N55" s="381">
        <v>1650</v>
      </c>
      <c r="O55" s="37"/>
      <c r="P55" s="37"/>
      <c r="Q55" s="37"/>
      <c r="R55" s="37"/>
      <c r="S55" s="37"/>
      <c r="T55" s="85" t="s">
        <v>173</v>
      </c>
      <c r="U55" s="85" t="s">
        <v>172</v>
      </c>
      <c r="V55" s="85"/>
      <c r="W55" s="91"/>
      <c r="X55" s="91"/>
      <c r="Y55" s="12"/>
      <c r="Z55" s="12"/>
    </row>
    <row r="56" spans="1:26" ht="37.5" customHeight="1" thickBot="1">
      <c r="A56" s="126" t="s">
        <v>449</v>
      </c>
      <c r="B56" s="42"/>
      <c r="C56" s="42"/>
      <c r="D56" s="42"/>
      <c r="E56" s="103" t="s">
        <v>170</v>
      </c>
      <c r="F56" s="40">
        <v>1.9</v>
      </c>
      <c r="G56" s="40"/>
      <c r="H56" s="103" t="s">
        <v>168</v>
      </c>
      <c r="I56" s="40">
        <v>3.02</v>
      </c>
      <c r="J56" s="40"/>
      <c r="K56" s="103" t="s">
        <v>171</v>
      </c>
      <c r="L56" s="40">
        <v>0</v>
      </c>
      <c r="M56" s="103" t="s">
        <v>406</v>
      </c>
      <c r="N56" s="40">
        <v>1.1499999999999999</v>
      </c>
      <c r="O56" s="42"/>
      <c r="P56" s="42"/>
      <c r="Q56" s="42"/>
      <c r="R56" s="42"/>
      <c r="S56" s="146"/>
      <c r="T56" s="86" t="s">
        <v>173</v>
      </c>
      <c r="U56" s="86" t="s">
        <v>172</v>
      </c>
      <c r="V56" s="86"/>
      <c r="W56" s="92"/>
      <c r="X56" s="92"/>
      <c r="Y56" s="12"/>
      <c r="Z56" s="12"/>
    </row>
    <row r="57" spans="1:26" ht="25.5" customHeight="1" thickBot="1">
      <c r="A57" s="93" t="s">
        <v>100</v>
      </c>
      <c r="B57" s="111"/>
      <c r="C57" s="109"/>
      <c r="D57" s="109"/>
      <c r="E57" s="112" t="s">
        <v>170</v>
      </c>
      <c r="F57" s="105">
        <v>0.24</v>
      </c>
      <c r="G57" s="105"/>
      <c r="H57" s="112" t="s">
        <v>168</v>
      </c>
      <c r="I57" s="105">
        <v>0.94</v>
      </c>
      <c r="J57" s="105"/>
      <c r="K57" s="112" t="s">
        <v>171</v>
      </c>
      <c r="L57" s="105">
        <v>0</v>
      </c>
      <c r="M57" s="112" t="s">
        <v>407</v>
      </c>
      <c r="N57" s="105">
        <v>0.85</v>
      </c>
      <c r="O57" s="109"/>
      <c r="P57" s="109"/>
      <c r="Q57" s="109"/>
      <c r="R57" s="109"/>
      <c r="S57" s="146"/>
      <c r="T57" s="365" t="s">
        <v>173</v>
      </c>
      <c r="U57" s="365" t="s">
        <v>172</v>
      </c>
      <c r="V57" s="365"/>
      <c r="W57" s="92"/>
      <c r="X57" s="92"/>
      <c r="Y57" s="12"/>
      <c r="Z57" s="12"/>
    </row>
    <row r="58" spans="1:26" ht="24.9" customHeight="1" thickBot="1">
      <c r="A58" s="93" t="s">
        <v>167</v>
      </c>
      <c r="B58" s="109"/>
      <c r="C58" s="109"/>
      <c r="D58" s="109"/>
      <c r="E58" s="112" t="s">
        <v>170</v>
      </c>
      <c r="F58" s="105">
        <v>0.55000000000000004</v>
      </c>
      <c r="G58" s="105"/>
      <c r="H58" s="112" t="s">
        <v>168</v>
      </c>
      <c r="I58" s="105">
        <v>0</v>
      </c>
      <c r="J58" s="105"/>
      <c r="K58" s="112" t="s">
        <v>171</v>
      </c>
      <c r="L58" s="105">
        <v>0</v>
      </c>
      <c r="M58" s="112" t="s">
        <v>408</v>
      </c>
      <c r="N58" s="105">
        <v>0.98</v>
      </c>
      <c r="O58" s="109"/>
      <c r="P58" s="109"/>
      <c r="Q58" s="109"/>
      <c r="R58" s="109"/>
      <c r="S58" s="147"/>
      <c r="T58" s="365" t="s">
        <v>173</v>
      </c>
      <c r="U58" s="365" t="s">
        <v>172</v>
      </c>
      <c r="V58" s="365"/>
      <c r="W58" s="92"/>
      <c r="X58" s="92"/>
      <c r="Y58" s="12"/>
      <c r="Z58" s="12"/>
    </row>
    <row r="59" spans="1:26" ht="20.100000000000001" customHeight="1">
      <c r="A59" s="154"/>
      <c r="B59" s="15"/>
      <c r="C59" s="15"/>
      <c r="D59" s="15"/>
      <c r="E59" s="15"/>
      <c r="F59" s="153"/>
      <c r="G59" s="153"/>
      <c r="H59" s="153"/>
      <c r="I59" s="153"/>
      <c r="J59" s="153"/>
      <c r="K59" s="153"/>
      <c r="L59" s="153"/>
      <c r="M59" s="153"/>
      <c r="N59" s="153"/>
      <c r="O59" s="15"/>
      <c r="P59" s="15"/>
      <c r="Q59" s="15"/>
      <c r="R59" s="15"/>
      <c r="S59" s="15"/>
      <c r="T59" s="364"/>
      <c r="U59" s="364"/>
      <c r="V59" s="364"/>
      <c r="W59" s="153"/>
      <c r="X59" s="153"/>
      <c r="Y59" s="149"/>
      <c r="Z59" s="149"/>
    </row>
    <row r="60" spans="1:26" ht="20.100000000000001" customHeight="1">
      <c r="A60" s="154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364"/>
      <c r="U60" s="364"/>
      <c r="V60" s="364"/>
      <c r="W60" s="15"/>
      <c r="X60" s="15"/>
      <c r="Y60" s="149"/>
      <c r="Z60" s="149"/>
    </row>
    <row r="61" spans="1:26" ht="20.100000000000001" customHeight="1">
      <c r="A61" s="155"/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W61" s="149"/>
      <c r="X61" s="149"/>
      <c r="Y61" s="149"/>
      <c r="Z61" s="149"/>
    </row>
    <row r="62" spans="1:26" ht="20.100000000000001" customHeight="1">
      <c r="A62" s="155"/>
      <c r="B62" s="149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  <c r="W62" s="149"/>
      <c r="X62" s="149"/>
      <c r="Y62" s="149"/>
      <c r="Z62" s="149"/>
    </row>
    <row r="63" spans="1:26" ht="20.100000000000001" customHeight="1">
      <c r="A63" s="155"/>
      <c r="B63" s="149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49"/>
      <c r="P63" s="149"/>
      <c r="Q63" s="149"/>
      <c r="R63" s="149"/>
      <c r="S63" s="149"/>
      <c r="W63" s="149"/>
      <c r="X63" s="149"/>
      <c r="Y63" s="149"/>
      <c r="Z63" s="149"/>
    </row>
    <row r="64" spans="1:26" ht="20.100000000000001" customHeight="1">
      <c r="A64" s="155"/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W64" s="149"/>
      <c r="X64" s="149"/>
      <c r="Y64" s="149"/>
      <c r="Z64" s="149"/>
    </row>
    <row r="65" spans="1:26">
      <c r="A65" s="149"/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W65" s="149"/>
      <c r="X65" s="149"/>
      <c r="Y65" s="149"/>
      <c r="Z65" s="149"/>
    </row>
    <row r="66" spans="1:26">
      <c r="A66" s="149"/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  <c r="O66" s="149"/>
      <c r="P66" s="149"/>
      <c r="Q66" s="149"/>
      <c r="R66" s="149"/>
      <c r="S66" s="149"/>
      <c r="W66" s="149"/>
      <c r="X66" s="149"/>
      <c r="Y66" s="149"/>
      <c r="Z66" s="149"/>
    </row>
    <row r="67" spans="1:26">
      <c r="A67" s="149"/>
      <c r="B67" s="149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W67" s="149"/>
      <c r="X67" s="149"/>
      <c r="Y67" s="149"/>
      <c r="Z67" s="149"/>
    </row>
    <row r="68" spans="1:26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W68" s="149"/>
      <c r="X68" s="149"/>
      <c r="Y68" s="149"/>
      <c r="Z68" s="149"/>
    </row>
    <row r="69" spans="1:26">
      <c r="A69" s="149"/>
      <c r="B69" s="149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W69" s="149"/>
      <c r="X69" s="149"/>
      <c r="Y69" s="149"/>
      <c r="Z69" s="149"/>
    </row>
    <row r="70" spans="1:26">
      <c r="A70" s="149"/>
      <c r="B70" s="149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W70" s="149"/>
      <c r="X70" s="149"/>
      <c r="Y70" s="149"/>
      <c r="Z70" s="149"/>
    </row>
    <row r="71" spans="1:26">
      <c r="A71" s="149"/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W71" s="149"/>
      <c r="X71" s="149"/>
      <c r="Y71" s="149"/>
      <c r="Z71" s="149"/>
    </row>
    <row r="72" spans="1:26">
      <c r="A72" s="149"/>
      <c r="B72" s="14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W72" s="149"/>
      <c r="X72" s="149"/>
      <c r="Y72" s="149"/>
      <c r="Z72" s="149"/>
    </row>
    <row r="73" spans="1:26">
      <c r="A73" s="149"/>
      <c r="B73" s="149"/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W73" s="149"/>
      <c r="X73" s="149"/>
      <c r="Y73" s="149"/>
      <c r="Z73" s="149"/>
    </row>
    <row r="74" spans="1:26">
      <c r="A74" s="149"/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W74" s="149"/>
      <c r="X74" s="149"/>
      <c r="Y74" s="149"/>
      <c r="Z74" s="149"/>
    </row>
    <row r="75" spans="1:26">
      <c r="A75" s="149"/>
      <c r="B75" s="149"/>
      <c r="C75" s="149"/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W75" s="149"/>
      <c r="X75" s="149"/>
      <c r="Y75" s="149"/>
      <c r="Z75" s="149"/>
    </row>
    <row r="76" spans="1:26">
      <c r="A76" s="149"/>
      <c r="B76" s="149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W76" s="149"/>
      <c r="X76" s="149"/>
      <c r="Y76" s="149"/>
      <c r="Z76" s="149"/>
    </row>
    <row r="77" spans="1:26">
      <c r="A77" s="149"/>
      <c r="B77" s="149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W77" s="149"/>
      <c r="X77" s="149"/>
      <c r="Y77" s="149"/>
      <c r="Z77" s="149"/>
    </row>
    <row r="78" spans="1:26">
      <c r="A78" s="149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W78" s="149"/>
      <c r="X78" s="149"/>
      <c r="Y78" s="149"/>
      <c r="Z78" s="149"/>
    </row>
    <row r="79" spans="1:26">
      <c r="A79" s="149"/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  <c r="O79" s="149"/>
      <c r="P79" s="149"/>
      <c r="Q79" s="149"/>
      <c r="R79" s="149"/>
      <c r="S79" s="149"/>
      <c r="W79" s="149"/>
      <c r="X79" s="149"/>
      <c r="Y79" s="149"/>
      <c r="Z79" s="149"/>
    </row>
    <row r="80" spans="1:26">
      <c r="A80" s="149"/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  <c r="O80" s="149"/>
      <c r="P80" s="149"/>
      <c r="Q80" s="149"/>
      <c r="R80" s="149"/>
      <c r="S80" s="149"/>
      <c r="W80" s="149"/>
      <c r="X80" s="149"/>
      <c r="Y80" s="149"/>
      <c r="Z80" s="149"/>
    </row>
    <row r="81" spans="1:26">
      <c r="A81" s="149"/>
      <c r="B81" s="149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W81" s="149"/>
      <c r="X81" s="149"/>
      <c r="Y81" s="149"/>
      <c r="Z81" s="149"/>
    </row>
    <row r="82" spans="1:26">
      <c r="A82" s="149"/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W82" s="149"/>
      <c r="X82" s="149"/>
      <c r="Y82" s="149"/>
      <c r="Z82" s="149"/>
    </row>
    <row r="83" spans="1:26">
      <c r="A83" s="149"/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W83" s="149"/>
      <c r="X83" s="149"/>
      <c r="Y83" s="149"/>
      <c r="Z83" s="149"/>
    </row>
    <row r="84" spans="1:26">
      <c r="A84" s="149"/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W84" s="149"/>
      <c r="X84" s="149"/>
      <c r="Y84" s="149"/>
      <c r="Z84" s="149"/>
    </row>
    <row r="85" spans="1:26">
      <c r="A85" s="149"/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W85" s="149"/>
      <c r="X85" s="149"/>
      <c r="Y85" s="149"/>
      <c r="Z85" s="149"/>
    </row>
    <row r="86" spans="1:26">
      <c r="A86" s="149"/>
      <c r="B86" s="149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W86" s="149"/>
      <c r="X86" s="149"/>
      <c r="Y86" s="149"/>
      <c r="Z86" s="149"/>
    </row>
    <row r="87" spans="1:26">
      <c r="A87" s="149"/>
      <c r="B87" s="149"/>
      <c r="C87" s="149"/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49"/>
      <c r="O87" s="149"/>
      <c r="P87" s="149"/>
      <c r="Q87" s="149"/>
      <c r="R87" s="149"/>
      <c r="S87" s="149"/>
      <c r="W87" s="149"/>
      <c r="X87" s="149"/>
      <c r="Y87" s="149"/>
      <c r="Z87" s="149"/>
    </row>
    <row r="88" spans="1:26">
      <c r="A88" s="149"/>
      <c r="B88" s="149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/>
      <c r="W88" s="149"/>
      <c r="X88" s="149"/>
      <c r="Y88" s="149"/>
      <c r="Z88" s="149"/>
    </row>
    <row r="89" spans="1:26">
      <c r="A89" s="149"/>
      <c r="B89" s="149"/>
      <c r="C89" s="149"/>
      <c r="D89" s="149"/>
      <c r="E89" s="149"/>
      <c r="F89" s="149"/>
      <c r="G89" s="149"/>
      <c r="H89" s="149"/>
      <c r="I89" s="149"/>
      <c r="J89" s="149"/>
      <c r="K89" s="149"/>
      <c r="L89" s="149"/>
      <c r="M89" s="149"/>
      <c r="N89" s="149"/>
      <c r="O89" s="149"/>
      <c r="P89" s="149"/>
      <c r="Q89" s="149"/>
      <c r="R89" s="149"/>
      <c r="S89" s="149"/>
      <c r="W89" s="149"/>
      <c r="X89" s="149"/>
      <c r="Y89" s="149"/>
      <c r="Z89" s="149"/>
    </row>
    <row r="90" spans="1:26">
      <c r="A90" s="149"/>
      <c r="B90" s="149"/>
      <c r="C90" s="149"/>
      <c r="D90" s="149"/>
      <c r="E90" s="149"/>
      <c r="F90" s="149"/>
      <c r="G90" s="149"/>
      <c r="H90" s="149"/>
      <c r="I90" s="149"/>
      <c r="J90" s="149"/>
      <c r="K90" s="149"/>
      <c r="L90" s="149"/>
      <c r="M90" s="149"/>
      <c r="N90" s="149"/>
      <c r="O90" s="149"/>
      <c r="P90" s="149"/>
      <c r="Q90" s="149"/>
      <c r="R90" s="149"/>
      <c r="S90" s="149"/>
      <c r="W90" s="149"/>
      <c r="X90" s="149"/>
      <c r="Y90" s="149"/>
      <c r="Z90" s="149"/>
    </row>
    <row r="91" spans="1:26">
      <c r="A91" s="149"/>
      <c r="B91" s="149"/>
      <c r="C91" s="149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  <c r="O91" s="149"/>
      <c r="P91" s="149"/>
      <c r="Q91" s="149"/>
      <c r="R91" s="149"/>
      <c r="S91" s="149"/>
      <c r="W91" s="149"/>
      <c r="X91" s="149"/>
      <c r="Y91" s="149"/>
      <c r="Z91" s="149"/>
    </row>
    <row r="92" spans="1:26">
      <c r="A92" s="149"/>
      <c r="B92" s="149"/>
      <c r="C92" s="149"/>
      <c r="D92" s="149"/>
      <c r="E92" s="149"/>
      <c r="F92" s="149"/>
      <c r="G92" s="149"/>
      <c r="H92" s="149"/>
      <c r="I92" s="149"/>
      <c r="J92" s="149"/>
      <c r="K92" s="149"/>
      <c r="L92" s="149"/>
      <c r="M92" s="149"/>
      <c r="N92" s="149"/>
      <c r="O92" s="149"/>
      <c r="P92" s="149"/>
      <c r="Q92" s="149"/>
      <c r="R92" s="149"/>
      <c r="S92" s="149"/>
      <c r="W92" s="149"/>
      <c r="X92" s="149"/>
      <c r="Y92" s="149"/>
      <c r="Z92" s="149"/>
    </row>
    <row r="93" spans="1:26">
      <c r="A93" s="149"/>
      <c r="B93" s="149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W93" s="149"/>
      <c r="X93" s="149"/>
      <c r="Y93" s="149"/>
      <c r="Z93" s="149"/>
    </row>
    <row r="94" spans="1:26">
      <c r="A94" s="149"/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  <c r="O94" s="149"/>
      <c r="P94" s="149"/>
      <c r="Q94" s="149"/>
      <c r="R94" s="149"/>
      <c r="S94" s="149"/>
      <c r="W94" s="149"/>
      <c r="X94" s="149"/>
      <c r="Y94" s="149"/>
      <c r="Z94" s="149"/>
    </row>
    <row r="95" spans="1:26">
      <c r="A95" s="149"/>
      <c r="B95" s="149"/>
      <c r="C95" s="149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  <c r="O95" s="149"/>
      <c r="P95" s="149"/>
      <c r="Q95" s="149"/>
      <c r="R95" s="149"/>
      <c r="S95" s="149"/>
      <c r="W95" s="149"/>
      <c r="X95" s="149"/>
      <c r="Y95" s="149"/>
      <c r="Z95" s="149"/>
    </row>
    <row r="96" spans="1:26">
      <c r="A96" s="149"/>
      <c r="B96" s="149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  <c r="O96" s="149"/>
      <c r="P96" s="149"/>
      <c r="Q96" s="149"/>
      <c r="R96" s="149"/>
      <c r="S96" s="149"/>
      <c r="W96" s="149"/>
      <c r="X96" s="149"/>
      <c r="Y96" s="149"/>
      <c r="Z96" s="149"/>
    </row>
    <row r="97" spans="1:26">
      <c r="A97" s="149"/>
      <c r="B97" s="149"/>
      <c r="C97" s="149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  <c r="O97" s="149"/>
      <c r="P97" s="149"/>
      <c r="Q97" s="149"/>
      <c r="R97" s="149"/>
      <c r="S97" s="149"/>
      <c r="W97" s="149"/>
      <c r="X97" s="149"/>
      <c r="Y97" s="149"/>
      <c r="Z97" s="149"/>
    </row>
    <row r="98" spans="1:26">
      <c r="A98" s="149"/>
      <c r="B98" s="149"/>
      <c r="C98" s="149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  <c r="O98" s="149"/>
      <c r="P98" s="149"/>
      <c r="Q98" s="149"/>
      <c r="R98" s="149"/>
      <c r="S98" s="149"/>
      <c r="W98" s="149"/>
      <c r="X98" s="149"/>
      <c r="Y98" s="149"/>
      <c r="Z98" s="149"/>
    </row>
    <row r="99" spans="1:26">
      <c r="A99" s="149"/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W99" s="149"/>
      <c r="X99" s="149"/>
      <c r="Y99" s="149"/>
      <c r="Z99" s="149"/>
    </row>
    <row r="100" spans="1:26">
      <c r="A100" s="149"/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  <c r="O100" s="149"/>
      <c r="P100" s="149"/>
      <c r="Q100" s="149"/>
      <c r="R100" s="149"/>
      <c r="S100" s="149"/>
      <c r="W100" s="149"/>
      <c r="X100" s="149"/>
      <c r="Y100" s="149"/>
      <c r="Z100" s="149"/>
    </row>
    <row r="101" spans="1:26">
      <c r="A101" s="149"/>
      <c r="B101" s="149"/>
      <c r="C101" s="149"/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W101" s="149"/>
      <c r="X101" s="149"/>
      <c r="Y101" s="149"/>
      <c r="Z101" s="149"/>
    </row>
    <row r="102" spans="1:26">
      <c r="A102" s="149"/>
      <c r="B102" s="149"/>
      <c r="C102" s="149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  <c r="O102" s="149"/>
      <c r="P102" s="149"/>
      <c r="Q102" s="149"/>
      <c r="R102" s="149"/>
      <c r="S102" s="149"/>
      <c r="W102" s="149"/>
      <c r="X102" s="149"/>
      <c r="Y102" s="149"/>
      <c r="Z102" s="149"/>
    </row>
    <row r="103" spans="1:26">
      <c r="A103" s="149"/>
      <c r="B103" s="149"/>
      <c r="C103" s="149"/>
      <c r="D103" s="149"/>
      <c r="E103" s="149"/>
      <c r="F103" s="149"/>
      <c r="G103" s="149"/>
      <c r="H103" s="149"/>
      <c r="I103" s="149"/>
      <c r="J103" s="149"/>
      <c r="K103" s="149"/>
      <c r="L103" s="149"/>
      <c r="M103" s="149"/>
      <c r="N103" s="149"/>
      <c r="O103" s="149"/>
      <c r="P103" s="149"/>
      <c r="Q103" s="149"/>
      <c r="R103" s="149"/>
      <c r="S103" s="149"/>
      <c r="W103" s="149"/>
      <c r="X103" s="149"/>
      <c r="Y103" s="149"/>
      <c r="Z103" s="149"/>
    </row>
    <row r="104" spans="1:26">
      <c r="A104" s="149"/>
      <c r="B104" s="149"/>
      <c r="C104" s="149"/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  <c r="O104" s="149"/>
      <c r="P104" s="149"/>
      <c r="Q104" s="149"/>
      <c r="R104" s="149"/>
      <c r="S104" s="149"/>
      <c r="W104" s="149"/>
      <c r="X104" s="149"/>
      <c r="Y104" s="149"/>
      <c r="Z104" s="149"/>
    </row>
    <row r="105" spans="1:26">
      <c r="A105" s="149"/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  <c r="O105" s="149"/>
      <c r="P105" s="149"/>
      <c r="Q105" s="149"/>
      <c r="R105" s="149"/>
      <c r="S105" s="149"/>
      <c r="W105" s="149"/>
      <c r="X105" s="149"/>
      <c r="Y105" s="149"/>
      <c r="Z105" s="149"/>
    </row>
    <row r="106" spans="1:26">
      <c r="A106" s="149"/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  <c r="O106" s="149"/>
      <c r="P106" s="149"/>
      <c r="Q106" s="149"/>
      <c r="R106" s="149"/>
      <c r="S106" s="149"/>
      <c r="W106" s="149"/>
      <c r="X106" s="149"/>
      <c r="Y106" s="149"/>
      <c r="Z106" s="149"/>
    </row>
    <row r="107" spans="1:26">
      <c r="A107" s="149"/>
      <c r="B107" s="149"/>
      <c r="C107" s="149"/>
      <c r="D107" s="149"/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  <c r="O107" s="149"/>
      <c r="P107" s="149"/>
      <c r="Q107" s="149"/>
      <c r="R107" s="149"/>
      <c r="S107" s="149"/>
      <c r="W107" s="149"/>
      <c r="X107" s="149"/>
      <c r="Y107" s="149"/>
      <c r="Z107" s="149"/>
    </row>
    <row r="108" spans="1:26">
      <c r="A108" s="149"/>
      <c r="B108" s="149"/>
      <c r="C108" s="149"/>
      <c r="D108" s="149"/>
      <c r="E108" s="149"/>
      <c r="F108" s="149"/>
      <c r="G108" s="149"/>
      <c r="H108" s="149"/>
      <c r="I108" s="149"/>
      <c r="J108" s="149"/>
      <c r="K108" s="149"/>
      <c r="L108" s="149"/>
      <c r="M108" s="149"/>
      <c r="N108" s="149"/>
      <c r="O108" s="149"/>
      <c r="P108" s="149"/>
      <c r="Q108" s="149"/>
      <c r="R108" s="149"/>
      <c r="S108" s="149"/>
      <c r="W108" s="149"/>
      <c r="X108" s="149"/>
      <c r="Y108" s="149"/>
      <c r="Z108" s="149"/>
    </row>
    <row r="109" spans="1:26">
      <c r="A109" s="149"/>
      <c r="B109" s="149"/>
      <c r="C109" s="149"/>
      <c r="D109" s="149"/>
      <c r="E109" s="149"/>
      <c r="F109" s="149"/>
      <c r="G109" s="149"/>
      <c r="H109" s="149"/>
      <c r="I109" s="149"/>
      <c r="J109" s="149"/>
      <c r="K109" s="149"/>
      <c r="L109" s="149"/>
      <c r="M109" s="149"/>
      <c r="N109" s="149"/>
      <c r="O109" s="149"/>
      <c r="P109" s="149"/>
      <c r="Q109" s="149"/>
      <c r="R109" s="149"/>
      <c r="S109" s="149"/>
      <c r="W109" s="149"/>
      <c r="X109" s="149"/>
      <c r="Y109" s="149"/>
      <c r="Z109" s="149"/>
    </row>
    <row r="110" spans="1:26">
      <c r="A110" s="149"/>
      <c r="B110" s="149"/>
      <c r="C110" s="149"/>
      <c r="D110" s="149"/>
      <c r="E110" s="149"/>
      <c r="F110" s="149"/>
      <c r="G110" s="149"/>
      <c r="H110" s="149"/>
      <c r="I110" s="149"/>
      <c r="J110" s="149"/>
      <c r="K110" s="149"/>
      <c r="L110" s="149"/>
      <c r="M110" s="149"/>
      <c r="N110" s="149"/>
      <c r="O110" s="149"/>
      <c r="P110" s="149"/>
      <c r="Q110" s="149"/>
      <c r="R110" s="149"/>
      <c r="S110" s="149"/>
      <c r="W110" s="149"/>
      <c r="X110" s="149"/>
      <c r="Y110" s="149"/>
      <c r="Z110" s="149"/>
    </row>
    <row r="111" spans="1:26">
      <c r="A111" s="149"/>
      <c r="B111" s="149"/>
      <c r="C111" s="149"/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  <c r="O111" s="149"/>
      <c r="P111" s="149"/>
      <c r="Q111" s="149"/>
      <c r="R111" s="149"/>
      <c r="S111" s="149"/>
      <c r="W111" s="149"/>
      <c r="X111" s="149"/>
      <c r="Y111" s="149"/>
      <c r="Z111" s="149"/>
    </row>
    <row r="112" spans="1:26">
      <c r="A112" s="149"/>
      <c r="B112" s="149"/>
      <c r="C112" s="149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  <c r="O112" s="149"/>
      <c r="P112" s="149"/>
      <c r="Q112" s="149"/>
      <c r="R112" s="149"/>
      <c r="S112" s="149"/>
      <c r="W112" s="149"/>
      <c r="X112" s="149"/>
      <c r="Y112" s="149"/>
      <c r="Z112" s="149"/>
    </row>
    <row r="113" spans="1:26">
      <c r="A113" s="149"/>
      <c r="B113" s="149"/>
      <c r="C113" s="149"/>
      <c r="D113" s="149"/>
      <c r="E113" s="149"/>
      <c r="F113" s="149"/>
      <c r="G113" s="149"/>
      <c r="H113" s="149"/>
      <c r="I113" s="149"/>
      <c r="J113" s="149"/>
      <c r="K113" s="149"/>
      <c r="L113" s="149"/>
      <c r="M113" s="149"/>
      <c r="N113" s="149"/>
      <c r="O113" s="149"/>
      <c r="P113" s="149"/>
      <c r="Q113" s="149"/>
      <c r="R113" s="149"/>
      <c r="S113" s="149"/>
      <c r="W113" s="149"/>
      <c r="X113" s="149"/>
      <c r="Y113" s="149"/>
      <c r="Z113" s="149"/>
    </row>
    <row r="114" spans="1:26">
      <c r="A114" s="149"/>
      <c r="B114" s="149"/>
      <c r="C114" s="149"/>
      <c r="D114" s="149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149"/>
      <c r="S114" s="149"/>
      <c r="W114" s="149"/>
      <c r="X114" s="149"/>
      <c r="Y114" s="149"/>
      <c r="Z114" s="149"/>
    </row>
    <row r="115" spans="1:26">
      <c r="A115" s="149"/>
      <c r="B115" s="149"/>
      <c r="C115" s="149"/>
      <c r="D115" s="149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  <c r="O115" s="149"/>
      <c r="P115" s="149"/>
      <c r="Q115" s="149"/>
      <c r="R115" s="149"/>
      <c r="S115" s="149"/>
      <c r="W115" s="149"/>
      <c r="X115" s="149"/>
      <c r="Y115" s="149"/>
      <c r="Z115" s="149"/>
    </row>
    <row r="116" spans="1:26">
      <c r="A116" s="149"/>
      <c r="B116" s="149"/>
      <c r="C116" s="149"/>
      <c r="D116" s="149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49"/>
      <c r="P116" s="149"/>
      <c r="Q116" s="149"/>
      <c r="R116" s="149"/>
      <c r="S116" s="149"/>
      <c r="W116" s="149"/>
      <c r="X116" s="149"/>
      <c r="Y116" s="149"/>
      <c r="Z116" s="149"/>
    </row>
    <row r="117" spans="1:26">
      <c r="A117" s="149"/>
      <c r="B117" s="149"/>
      <c r="C117" s="149"/>
      <c r="D117" s="149"/>
      <c r="E117" s="149"/>
      <c r="F117" s="149"/>
      <c r="G117" s="149"/>
      <c r="H117" s="149"/>
      <c r="I117" s="149"/>
      <c r="J117" s="149"/>
      <c r="K117" s="149"/>
      <c r="L117" s="149"/>
      <c r="M117" s="149"/>
      <c r="N117" s="149"/>
      <c r="O117" s="149"/>
      <c r="P117" s="149"/>
      <c r="Q117" s="149"/>
      <c r="R117" s="149"/>
      <c r="S117" s="149"/>
      <c r="W117" s="149"/>
      <c r="X117" s="149"/>
      <c r="Y117" s="149"/>
      <c r="Z117" s="149"/>
    </row>
    <row r="118" spans="1:26">
      <c r="A118" s="149"/>
      <c r="B118" s="149"/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W118" s="149"/>
      <c r="X118" s="149"/>
      <c r="Y118" s="149"/>
      <c r="Z118" s="149"/>
    </row>
    <row r="119" spans="1:26">
      <c r="A119" s="149"/>
      <c r="B119" s="149"/>
      <c r="C119" s="149"/>
      <c r="D119" s="149"/>
      <c r="E119" s="149"/>
      <c r="F119" s="149"/>
      <c r="G119" s="149"/>
      <c r="H119" s="149"/>
      <c r="I119" s="149"/>
      <c r="J119" s="149"/>
      <c r="K119" s="149"/>
      <c r="L119" s="149"/>
      <c r="M119" s="149"/>
      <c r="N119" s="149"/>
      <c r="O119" s="149"/>
      <c r="P119" s="149"/>
      <c r="Q119" s="149"/>
      <c r="R119" s="149"/>
      <c r="S119" s="149"/>
      <c r="W119" s="149"/>
      <c r="X119" s="149"/>
      <c r="Y119" s="149"/>
      <c r="Z119" s="149"/>
    </row>
    <row r="120" spans="1:26">
      <c r="A120" s="149"/>
      <c r="B120" s="149"/>
      <c r="C120" s="149"/>
      <c r="D120" s="149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  <c r="O120" s="149"/>
      <c r="P120" s="149"/>
      <c r="Q120" s="149"/>
      <c r="R120" s="149"/>
      <c r="S120" s="149"/>
      <c r="W120" s="149"/>
      <c r="X120" s="149"/>
      <c r="Y120" s="149"/>
      <c r="Z120" s="149"/>
    </row>
    <row r="121" spans="1:26">
      <c r="A121" s="149"/>
      <c r="B121" s="149"/>
      <c r="C121" s="149"/>
      <c r="D121" s="149"/>
      <c r="E121" s="149"/>
      <c r="F121" s="149"/>
      <c r="G121" s="149"/>
      <c r="H121" s="149"/>
      <c r="I121" s="149"/>
      <c r="J121" s="149"/>
      <c r="K121" s="149"/>
      <c r="L121" s="149"/>
      <c r="M121" s="149"/>
      <c r="N121" s="149"/>
      <c r="O121" s="149"/>
      <c r="P121" s="149"/>
      <c r="Q121" s="149"/>
      <c r="R121" s="149"/>
      <c r="S121" s="149"/>
      <c r="W121" s="149"/>
      <c r="X121" s="149"/>
      <c r="Y121" s="149"/>
      <c r="Z121" s="149"/>
    </row>
    <row r="122" spans="1:26">
      <c r="A122" s="149"/>
      <c r="B122" s="149"/>
      <c r="C122" s="149"/>
      <c r="D122" s="149"/>
      <c r="E122" s="149"/>
      <c r="F122" s="149"/>
      <c r="G122" s="149"/>
      <c r="H122" s="149"/>
      <c r="I122" s="149"/>
      <c r="J122" s="149"/>
      <c r="K122" s="149"/>
      <c r="L122" s="149"/>
      <c r="M122" s="149"/>
      <c r="N122" s="149"/>
      <c r="O122" s="149"/>
      <c r="P122" s="149"/>
      <c r="Q122" s="149"/>
      <c r="R122" s="149"/>
      <c r="S122" s="149"/>
      <c r="W122" s="149"/>
      <c r="X122" s="149"/>
      <c r="Y122" s="149"/>
      <c r="Z122" s="149"/>
    </row>
    <row r="123" spans="1:26">
      <c r="A123" s="149"/>
      <c r="B123" s="149"/>
      <c r="C123" s="149"/>
      <c r="D123" s="149"/>
      <c r="E123" s="149"/>
      <c r="F123" s="149"/>
      <c r="G123" s="149"/>
      <c r="H123" s="149"/>
      <c r="I123" s="149"/>
      <c r="J123" s="149"/>
      <c r="K123" s="149"/>
      <c r="L123" s="149"/>
      <c r="M123" s="149"/>
      <c r="N123" s="149"/>
      <c r="O123" s="149"/>
      <c r="P123" s="149"/>
      <c r="Q123" s="149"/>
      <c r="R123" s="149"/>
      <c r="S123" s="149"/>
      <c r="W123" s="149"/>
      <c r="X123" s="149"/>
      <c r="Y123" s="149"/>
      <c r="Z123" s="149"/>
    </row>
    <row r="124" spans="1:26">
      <c r="A124" s="149"/>
      <c r="B124" s="149"/>
      <c r="C124" s="149"/>
      <c r="D124" s="149"/>
      <c r="E124" s="149"/>
      <c r="F124" s="149"/>
      <c r="G124" s="149"/>
      <c r="H124" s="149"/>
      <c r="I124" s="149"/>
      <c r="J124" s="149"/>
      <c r="K124" s="149"/>
      <c r="L124" s="149"/>
      <c r="M124" s="149"/>
      <c r="N124" s="149"/>
      <c r="O124" s="149"/>
      <c r="P124" s="149"/>
      <c r="Q124" s="149"/>
      <c r="R124" s="149"/>
      <c r="S124" s="149"/>
      <c r="W124" s="149"/>
      <c r="X124" s="149"/>
      <c r="Y124" s="149"/>
      <c r="Z124" s="149"/>
    </row>
    <row r="125" spans="1:26">
      <c r="A125" s="149"/>
      <c r="B125" s="149"/>
      <c r="C125" s="149"/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  <c r="O125" s="149"/>
      <c r="P125" s="149"/>
      <c r="Q125" s="149"/>
      <c r="R125" s="149"/>
      <c r="S125" s="149"/>
      <c r="W125" s="149"/>
      <c r="X125" s="149"/>
      <c r="Y125" s="149"/>
      <c r="Z125" s="149"/>
    </row>
    <row r="126" spans="1:26">
      <c r="A126" s="149"/>
      <c r="B126" s="149"/>
      <c r="C126" s="149"/>
      <c r="D126" s="149"/>
      <c r="E126" s="149"/>
      <c r="F126" s="149"/>
      <c r="G126" s="149"/>
      <c r="H126" s="149"/>
      <c r="I126" s="149"/>
      <c r="J126" s="149"/>
      <c r="K126" s="149"/>
      <c r="L126" s="149"/>
      <c r="M126" s="149"/>
      <c r="N126" s="149"/>
      <c r="O126" s="149"/>
      <c r="P126" s="149"/>
      <c r="Q126" s="149"/>
      <c r="R126" s="149"/>
      <c r="S126" s="149"/>
      <c r="W126" s="149"/>
      <c r="X126" s="149"/>
      <c r="Y126" s="149"/>
      <c r="Z126" s="149"/>
    </row>
    <row r="127" spans="1:26">
      <c r="A127" s="149"/>
      <c r="B127" s="149"/>
      <c r="C127" s="149"/>
      <c r="D127" s="149"/>
      <c r="E127" s="149"/>
      <c r="F127" s="149"/>
      <c r="G127" s="149"/>
      <c r="H127" s="149"/>
      <c r="I127" s="149"/>
      <c r="J127" s="149"/>
      <c r="K127" s="149"/>
      <c r="L127" s="149"/>
      <c r="M127" s="149"/>
      <c r="N127" s="149"/>
      <c r="O127" s="149"/>
      <c r="P127" s="149"/>
      <c r="Q127" s="149"/>
      <c r="R127" s="149"/>
      <c r="S127" s="149"/>
      <c r="W127" s="149"/>
      <c r="X127" s="149"/>
      <c r="Y127" s="149"/>
      <c r="Z127" s="149"/>
    </row>
    <row r="128" spans="1:26">
      <c r="A128" s="149"/>
      <c r="B128" s="149"/>
      <c r="C128" s="149"/>
      <c r="D128" s="149"/>
      <c r="E128" s="149"/>
      <c r="F128" s="149"/>
      <c r="G128" s="149"/>
      <c r="H128" s="149"/>
      <c r="I128" s="149"/>
      <c r="J128" s="149"/>
      <c r="K128" s="149"/>
      <c r="L128" s="149"/>
      <c r="M128" s="149"/>
      <c r="N128" s="149"/>
      <c r="O128" s="149"/>
      <c r="P128" s="149"/>
      <c r="Q128" s="149"/>
      <c r="R128" s="149"/>
      <c r="S128" s="149"/>
      <c r="W128" s="149"/>
      <c r="X128" s="149"/>
      <c r="Y128" s="149"/>
      <c r="Z128" s="149"/>
    </row>
    <row r="129" spans="1:26">
      <c r="A129" s="149"/>
      <c r="B129" s="149"/>
      <c r="C129" s="149"/>
      <c r="D129" s="149"/>
      <c r="E129" s="149"/>
      <c r="F129" s="149"/>
      <c r="G129" s="149"/>
      <c r="H129" s="149"/>
      <c r="I129" s="149"/>
      <c r="J129" s="149"/>
      <c r="K129" s="149"/>
      <c r="L129" s="149"/>
      <c r="M129" s="149"/>
      <c r="N129" s="149"/>
      <c r="O129" s="149"/>
      <c r="P129" s="149"/>
      <c r="Q129" s="149"/>
      <c r="R129" s="149"/>
      <c r="S129" s="149"/>
      <c r="W129" s="149"/>
      <c r="X129" s="149"/>
      <c r="Y129" s="149"/>
      <c r="Z129" s="149"/>
    </row>
    <row r="130" spans="1:26">
      <c r="A130" s="149"/>
      <c r="B130" s="149"/>
      <c r="C130" s="149"/>
      <c r="D130" s="149"/>
      <c r="E130" s="149"/>
      <c r="F130" s="149"/>
      <c r="G130" s="149"/>
      <c r="H130" s="149"/>
      <c r="I130" s="149"/>
      <c r="J130" s="149"/>
      <c r="K130" s="149"/>
      <c r="L130" s="149"/>
      <c r="M130" s="149"/>
      <c r="N130" s="149"/>
      <c r="O130" s="149"/>
      <c r="P130" s="149"/>
      <c r="Q130" s="149"/>
      <c r="R130" s="149"/>
      <c r="S130" s="149"/>
      <c r="W130" s="149"/>
      <c r="X130" s="149"/>
      <c r="Y130" s="149"/>
      <c r="Z130" s="149"/>
    </row>
    <row r="131" spans="1:26">
      <c r="A131" s="149"/>
      <c r="B131" s="149"/>
      <c r="C131" s="149"/>
      <c r="D131" s="149"/>
      <c r="E131" s="149"/>
      <c r="F131" s="149"/>
      <c r="G131" s="149"/>
      <c r="H131" s="149"/>
      <c r="I131" s="149"/>
      <c r="J131" s="149"/>
      <c r="K131" s="149"/>
      <c r="L131" s="149"/>
      <c r="M131" s="149"/>
      <c r="N131" s="149"/>
      <c r="O131" s="149"/>
      <c r="P131" s="149"/>
      <c r="Q131" s="149"/>
      <c r="R131" s="149"/>
      <c r="S131" s="149"/>
      <c r="W131" s="149"/>
      <c r="X131" s="149"/>
      <c r="Y131" s="149"/>
      <c r="Z131" s="149"/>
    </row>
    <row r="132" spans="1:26">
      <c r="A132" s="149"/>
      <c r="B132" s="149"/>
      <c r="C132" s="149"/>
      <c r="D132" s="149"/>
      <c r="E132" s="149"/>
      <c r="F132" s="149"/>
      <c r="G132" s="149"/>
      <c r="H132" s="149"/>
      <c r="I132" s="149"/>
      <c r="J132" s="149"/>
      <c r="K132" s="149"/>
      <c r="L132" s="149"/>
      <c r="M132" s="149"/>
      <c r="N132" s="149"/>
      <c r="O132" s="149"/>
      <c r="P132" s="149"/>
      <c r="Q132" s="149"/>
      <c r="R132" s="149"/>
      <c r="S132" s="149"/>
      <c r="W132" s="149"/>
      <c r="X132" s="149"/>
      <c r="Y132" s="149"/>
      <c r="Z132" s="149"/>
    </row>
    <row r="133" spans="1:26">
      <c r="A133" s="149"/>
      <c r="B133" s="149"/>
      <c r="C133" s="149"/>
      <c r="D133" s="149"/>
      <c r="E133" s="149"/>
      <c r="F133" s="149"/>
      <c r="G133" s="149"/>
      <c r="H133" s="149"/>
      <c r="I133" s="149"/>
      <c r="J133" s="149"/>
      <c r="K133" s="149"/>
      <c r="L133" s="149"/>
      <c r="M133" s="149"/>
      <c r="N133" s="149"/>
      <c r="O133" s="149"/>
      <c r="P133" s="149"/>
      <c r="Q133" s="149"/>
      <c r="R133" s="149"/>
      <c r="S133" s="149"/>
      <c r="W133" s="149"/>
      <c r="X133" s="149"/>
      <c r="Y133" s="149"/>
      <c r="Z133" s="149"/>
    </row>
    <row r="134" spans="1:26">
      <c r="A134" s="149"/>
      <c r="B134" s="149"/>
      <c r="C134" s="149"/>
      <c r="D134" s="149"/>
      <c r="E134" s="149"/>
      <c r="F134" s="149"/>
      <c r="G134" s="149"/>
      <c r="H134" s="149"/>
      <c r="I134" s="149"/>
      <c r="J134" s="149"/>
      <c r="K134" s="149"/>
      <c r="L134" s="149"/>
      <c r="M134" s="149"/>
      <c r="N134" s="149"/>
      <c r="O134" s="149"/>
      <c r="P134" s="149"/>
      <c r="Q134" s="149"/>
      <c r="R134" s="149"/>
      <c r="S134" s="149"/>
      <c r="W134" s="149"/>
      <c r="X134" s="149"/>
      <c r="Y134" s="149"/>
      <c r="Z134" s="149"/>
    </row>
    <row r="135" spans="1:26">
      <c r="A135" s="149"/>
      <c r="B135" s="149"/>
      <c r="C135" s="149"/>
      <c r="D135" s="149"/>
      <c r="E135" s="149"/>
      <c r="F135" s="149"/>
      <c r="G135" s="149"/>
      <c r="H135" s="149"/>
      <c r="I135" s="149"/>
      <c r="J135" s="149"/>
      <c r="K135" s="149"/>
      <c r="L135" s="149"/>
      <c r="M135" s="149"/>
      <c r="N135" s="149"/>
      <c r="O135" s="149"/>
      <c r="P135" s="149"/>
      <c r="Q135" s="149"/>
      <c r="R135" s="149"/>
      <c r="S135" s="149"/>
      <c r="W135" s="149"/>
      <c r="X135" s="149"/>
      <c r="Y135" s="149"/>
      <c r="Z135" s="149"/>
    </row>
    <row r="136" spans="1:26">
      <c r="A136" s="149"/>
      <c r="B136" s="149"/>
      <c r="C136" s="149"/>
      <c r="D136" s="149"/>
      <c r="E136" s="149"/>
      <c r="F136" s="149"/>
      <c r="G136" s="149"/>
      <c r="H136" s="149"/>
      <c r="I136" s="149"/>
      <c r="J136" s="149"/>
      <c r="K136" s="149"/>
      <c r="L136" s="149"/>
      <c r="M136" s="149"/>
      <c r="N136" s="149"/>
      <c r="O136" s="149"/>
      <c r="P136" s="149"/>
      <c r="Q136" s="149"/>
      <c r="R136" s="149"/>
      <c r="S136" s="149"/>
      <c r="W136" s="149"/>
      <c r="X136" s="149"/>
      <c r="Y136" s="149"/>
      <c r="Z136" s="149"/>
    </row>
    <row r="137" spans="1:26">
      <c r="A137" s="149"/>
      <c r="B137" s="149"/>
      <c r="C137" s="149"/>
      <c r="D137" s="149"/>
      <c r="E137" s="149"/>
      <c r="F137" s="149"/>
      <c r="G137" s="149"/>
      <c r="H137" s="149"/>
      <c r="I137" s="149"/>
      <c r="J137" s="149"/>
      <c r="K137" s="149"/>
      <c r="L137" s="149"/>
      <c r="M137" s="149"/>
      <c r="N137" s="149"/>
      <c r="O137" s="149"/>
      <c r="P137" s="149"/>
      <c r="Q137" s="149"/>
      <c r="R137" s="149"/>
      <c r="S137" s="149"/>
      <c r="W137" s="149"/>
      <c r="X137" s="149"/>
      <c r="Y137" s="149"/>
      <c r="Z137" s="149"/>
    </row>
    <row r="138" spans="1:26">
      <c r="A138" s="149"/>
      <c r="B138" s="149"/>
      <c r="C138" s="149"/>
      <c r="D138" s="149"/>
      <c r="E138" s="149"/>
      <c r="F138" s="149"/>
      <c r="G138" s="149"/>
      <c r="H138" s="149"/>
      <c r="I138" s="149"/>
      <c r="J138" s="149"/>
      <c r="K138" s="149"/>
      <c r="L138" s="149"/>
      <c r="M138" s="149"/>
      <c r="N138" s="149"/>
      <c r="O138" s="149"/>
      <c r="P138" s="149"/>
      <c r="Q138" s="149"/>
      <c r="R138" s="149"/>
      <c r="S138" s="149"/>
      <c r="W138" s="149"/>
      <c r="X138" s="149"/>
      <c r="Y138" s="149"/>
      <c r="Z138" s="149"/>
    </row>
    <row r="139" spans="1:26">
      <c r="A139" s="149"/>
      <c r="B139" s="149"/>
      <c r="C139" s="149"/>
      <c r="D139" s="149"/>
      <c r="E139" s="149"/>
      <c r="F139" s="149"/>
      <c r="G139" s="149"/>
      <c r="H139" s="149"/>
      <c r="I139" s="149"/>
      <c r="J139" s="149"/>
      <c r="K139" s="149"/>
      <c r="L139" s="149"/>
      <c r="M139" s="149"/>
      <c r="N139" s="149"/>
      <c r="O139" s="149"/>
      <c r="P139" s="149"/>
      <c r="Q139" s="149"/>
      <c r="R139" s="149"/>
      <c r="S139" s="149"/>
      <c r="W139" s="149"/>
      <c r="X139" s="149"/>
      <c r="Y139" s="149"/>
      <c r="Z139" s="149"/>
    </row>
    <row r="140" spans="1:26">
      <c r="A140" s="149"/>
      <c r="B140" s="149"/>
      <c r="C140" s="149"/>
      <c r="D140" s="149"/>
      <c r="E140" s="149"/>
      <c r="F140" s="149"/>
      <c r="G140" s="149"/>
      <c r="H140" s="149"/>
      <c r="I140" s="149"/>
      <c r="J140" s="149"/>
      <c r="K140" s="149"/>
      <c r="L140" s="149"/>
      <c r="M140" s="149"/>
      <c r="N140" s="149"/>
      <c r="O140" s="149"/>
      <c r="P140" s="149"/>
      <c r="Q140" s="149"/>
      <c r="R140" s="149"/>
      <c r="S140" s="149"/>
      <c r="W140" s="149"/>
      <c r="X140" s="149"/>
      <c r="Y140" s="149"/>
      <c r="Z140" s="149"/>
    </row>
    <row r="141" spans="1:26">
      <c r="A141" s="149"/>
      <c r="B141" s="149"/>
      <c r="C141" s="149"/>
      <c r="D141" s="149"/>
      <c r="E141" s="149"/>
      <c r="F141" s="149"/>
      <c r="G141" s="149"/>
      <c r="H141" s="149"/>
      <c r="I141" s="149"/>
      <c r="J141" s="149"/>
      <c r="K141" s="149"/>
      <c r="L141" s="149"/>
      <c r="M141" s="149"/>
      <c r="N141" s="149"/>
      <c r="O141" s="149"/>
      <c r="P141" s="149"/>
      <c r="Q141" s="149"/>
      <c r="R141" s="149"/>
      <c r="S141" s="149"/>
      <c r="W141" s="149"/>
      <c r="X141" s="149"/>
      <c r="Y141" s="149"/>
      <c r="Z141" s="149"/>
    </row>
    <row r="142" spans="1:26">
      <c r="A142" s="149"/>
      <c r="B142" s="149"/>
      <c r="C142" s="149"/>
      <c r="D142" s="149"/>
      <c r="E142" s="149"/>
      <c r="F142" s="149"/>
      <c r="G142" s="149"/>
      <c r="H142" s="149"/>
      <c r="I142" s="149"/>
      <c r="J142" s="149"/>
      <c r="K142" s="149"/>
      <c r="L142" s="149"/>
      <c r="M142" s="149"/>
      <c r="N142" s="149"/>
      <c r="O142" s="149"/>
      <c r="P142" s="149"/>
      <c r="Q142" s="149"/>
      <c r="R142" s="149"/>
      <c r="S142" s="149"/>
      <c r="W142" s="149"/>
      <c r="X142" s="149"/>
      <c r="Y142" s="149"/>
      <c r="Z142" s="149"/>
    </row>
    <row r="143" spans="1:26">
      <c r="A143" s="149"/>
      <c r="B143" s="149"/>
      <c r="C143" s="149"/>
      <c r="D143" s="149"/>
      <c r="E143" s="149"/>
      <c r="F143" s="149"/>
      <c r="G143" s="149"/>
      <c r="H143" s="149"/>
      <c r="I143" s="149"/>
      <c r="J143" s="149"/>
      <c r="K143" s="149"/>
      <c r="L143" s="149"/>
      <c r="M143" s="149"/>
      <c r="N143" s="149"/>
      <c r="O143" s="149"/>
      <c r="P143" s="149"/>
      <c r="Q143" s="149"/>
      <c r="R143" s="149"/>
      <c r="S143" s="149"/>
      <c r="W143" s="149"/>
      <c r="X143" s="149"/>
      <c r="Y143" s="149"/>
      <c r="Z143" s="149"/>
    </row>
    <row r="144" spans="1:26">
      <c r="A144" s="149"/>
      <c r="B144" s="149"/>
      <c r="C144" s="149"/>
      <c r="D144" s="149"/>
      <c r="E144" s="149"/>
      <c r="F144" s="149"/>
      <c r="G144" s="149"/>
      <c r="H144" s="149"/>
      <c r="I144" s="149"/>
      <c r="J144" s="149"/>
      <c r="K144" s="149"/>
      <c r="L144" s="149"/>
      <c r="M144" s="149"/>
      <c r="N144" s="149"/>
      <c r="O144" s="149"/>
      <c r="P144" s="149"/>
      <c r="Q144" s="149"/>
      <c r="R144" s="149"/>
      <c r="S144" s="149"/>
      <c r="W144" s="149"/>
      <c r="X144" s="149"/>
      <c r="Y144" s="149"/>
      <c r="Z144" s="149"/>
    </row>
    <row r="145" spans="1:26">
      <c r="A145" s="149"/>
      <c r="B145" s="149"/>
      <c r="C145" s="149"/>
      <c r="D145" s="149"/>
      <c r="E145" s="149"/>
      <c r="F145" s="149"/>
      <c r="G145" s="149"/>
      <c r="H145" s="149"/>
      <c r="I145" s="149"/>
      <c r="J145" s="149"/>
      <c r="K145" s="149"/>
      <c r="L145" s="149"/>
      <c r="M145" s="149"/>
      <c r="N145" s="149"/>
      <c r="O145" s="149"/>
      <c r="P145" s="149"/>
      <c r="Q145" s="149"/>
      <c r="R145" s="149"/>
      <c r="S145" s="149"/>
      <c r="W145" s="149"/>
      <c r="X145" s="149"/>
      <c r="Y145" s="149"/>
      <c r="Z145" s="149"/>
    </row>
    <row r="146" spans="1:26">
      <c r="A146" s="149"/>
      <c r="B146" s="149"/>
      <c r="C146" s="149"/>
      <c r="D146" s="149"/>
      <c r="E146" s="149"/>
      <c r="F146" s="149"/>
      <c r="G146" s="149"/>
      <c r="H146" s="149"/>
      <c r="I146" s="149"/>
      <c r="J146" s="149"/>
      <c r="K146" s="149"/>
      <c r="L146" s="149"/>
      <c r="M146" s="149"/>
      <c r="N146" s="149"/>
      <c r="O146" s="149"/>
      <c r="P146" s="149"/>
      <c r="Q146" s="149"/>
      <c r="R146" s="149"/>
      <c r="S146" s="149"/>
      <c r="W146" s="149"/>
      <c r="X146" s="149"/>
      <c r="Y146" s="149"/>
      <c r="Z146" s="149"/>
    </row>
    <row r="147" spans="1:26">
      <c r="A147" s="149"/>
      <c r="B147" s="149"/>
      <c r="C147" s="149"/>
      <c r="D147" s="149"/>
      <c r="E147" s="149"/>
      <c r="F147" s="149"/>
      <c r="G147" s="149"/>
      <c r="H147" s="149"/>
      <c r="I147" s="149"/>
      <c r="J147" s="149"/>
      <c r="K147" s="149"/>
      <c r="L147" s="149"/>
      <c r="M147" s="149"/>
      <c r="N147" s="149"/>
      <c r="O147" s="149"/>
      <c r="P147" s="149"/>
      <c r="Q147" s="149"/>
      <c r="R147" s="149"/>
      <c r="S147" s="149"/>
      <c r="W147" s="149"/>
      <c r="X147" s="149"/>
      <c r="Y147" s="149"/>
      <c r="Z147" s="149"/>
    </row>
    <row r="148" spans="1:26">
      <c r="A148" s="149"/>
      <c r="B148" s="149"/>
      <c r="C148" s="149"/>
      <c r="D148" s="149"/>
      <c r="E148" s="149"/>
      <c r="F148" s="149"/>
      <c r="G148" s="149"/>
      <c r="H148" s="149"/>
      <c r="I148" s="149"/>
      <c r="J148" s="149"/>
      <c r="K148" s="149"/>
      <c r="L148" s="149"/>
      <c r="M148" s="149"/>
      <c r="N148" s="149"/>
      <c r="O148" s="149"/>
      <c r="P148" s="149"/>
      <c r="Q148" s="149"/>
      <c r="R148" s="149"/>
      <c r="S148" s="149"/>
      <c r="W148" s="149"/>
      <c r="X148" s="149"/>
      <c r="Y148" s="149"/>
      <c r="Z148" s="149"/>
    </row>
    <row r="149" spans="1:26">
      <c r="A149" s="149"/>
      <c r="B149" s="149"/>
      <c r="C149" s="149"/>
      <c r="D149" s="149"/>
      <c r="E149" s="149"/>
      <c r="F149" s="149"/>
      <c r="G149" s="149"/>
      <c r="H149" s="149"/>
      <c r="I149" s="149"/>
      <c r="J149" s="149"/>
      <c r="K149" s="149"/>
      <c r="L149" s="149"/>
      <c r="M149" s="149"/>
      <c r="N149" s="149"/>
      <c r="O149" s="149"/>
      <c r="P149" s="149"/>
      <c r="Q149" s="149"/>
      <c r="R149" s="149"/>
      <c r="S149" s="149"/>
      <c r="W149" s="149"/>
      <c r="X149" s="149"/>
      <c r="Y149" s="149"/>
      <c r="Z149" s="149"/>
    </row>
    <row r="150" spans="1:26">
      <c r="A150" s="149"/>
      <c r="B150" s="149"/>
      <c r="C150" s="149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W150" s="149"/>
      <c r="X150" s="149"/>
      <c r="Y150" s="149"/>
      <c r="Z150" s="149"/>
    </row>
    <row r="151" spans="1:26">
      <c r="A151" s="149"/>
      <c r="B151" s="149"/>
      <c r="C151" s="149"/>
      <c r="D151" s="149"/>
      <c r="E151" s="149"/>
      <c r="F151" s="149"/>
      <c r="G151" s="149"/>
      <c r="H151" s="149"/>
      <c r="I151" s="149"/>
      <c r="J151" s="149"/>
      <c r="K151" s="149"/>
      <c r="L151" s="149"/>
      <c r="M151" s="149"/>
      <c r="N151" s="149"/>
      <c r="O151" s="149"/>
      <c r="P151" s="149"/>
      <c r="Q151" s="149"/>
      <c r="R151" s="149"/>
      <c r="S151" s="149"/>
      <c r="W151" s="149"/>
      <c r="X151" s="149"/>
      <c r="Y151" s="149"/>
      <c r="Z151" s="149"/>
    </row>
    <row r="152" spans="1:26">
      <c r="A152" s="149"/>
      <c r="B152" s="149"/>
      <c r="C152" s="149"/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W152" s="149"/>
      <c r="X152" s="149"/>
      <c r="Y152" s="149"/>
      <c r="Z152" s="149"/>
    </row>
    <row r="153" spans="1:26">
      <c r="A153" s="149"/>
      <c r="B153" s="149"/>
      <c r="C153" s="149"/>
      <c r="D153" s="149"/>
      <c r="E153" s="149"/>
      <c r="F153" s="149"/>
      <c r="G153" s="149"/>
      <c r="H153" s="149"/>
      <c r="I153" s="149"/>
      <c r="J153" s="149"/>
      <c r="K153" s="149"/>
      <c r="L153" s="149"/>
      <c r="M153" s="149"/>
      <c r="N153" s="149"/>
      <c r="O153" s="149"/>
      <c r="P153" s="149"/>
      <c r="Q153" s="149"/>
      <c r="R153" s="149"/>
      <c r="S153" s="149"/>
      <c r="W153" s="149"/>
      <c r="X153" s="149"/>
      <c r="Y153" s="149"/>
      <c r="Z153" s="149"/>
    </row>
    <row r="154" spans="1:26">
      <c r="A154" s="149"/>
      <c r="B154" s="149"/>
      <c r="C154" s="149"/>
      <c r="D154" s="149"/>
      <c r="E154" s="149"/>
      <c r="F154" s="149"/>
      <c r="G154" s="149"/>
      <c r="H154" s="149"/>
      <c r="I154" s="149"/>
      <c r="J154" s="149"/>
      <c r="K154" s="149"/>
      <c r="L154" s="149"/>
      <c r="M154" s="149"/>
      <c r="N154" s="149"/>
      <c r="O154" s="149"/>
      <c r="P154" s="149"/>
      <c r="Q154" s="149"/>
      <c r="R154" s="149"/>
      <c r="S154" s="149"/>
      <c r="W154" s="149"/>
      <c r="X154" s="149"/>
      <c r="Y154" s="149"/>
      <c r="Z154" s="149"/>
    </row>
    <row r="155" spans="1:26">
      <c r="A155" s="149"/>
      <c r="B155" s="149"/>
      <c r="C155" s="149"/>
      <c r="D155" s="149"/>
      <c r="E155" s="149"/>
      <c r="F155" s="149"/>
      <c r="G155" s="149"/>
      <c r="H155" s="149"/>
      <c r="I155" s="149"/>
      <c r="J155" s="149"/>
      <c r="K155" s="149"/>
      <c r="L155" s="149"/>
      <c r="M155" s="149"/>
      <c r="N155" s="149"/>
      <c r="O155" s="149"/>
      <c r="P155" s="149"/>
      <c r="Q155" s="149"/>
      <c r="R155" s="149"/>
      <c r="S155" s="149"/>
      <c r="W155" s="149"/>
      <c r="X155" s="149"/>
      <c r="Y155" s="149"/>
      <c r="Z155" s="149"/>
    </row>
    <row r="156" spans="1:26">
      <c r="A156" s="149"/>
      <c r="B156" s="149"/>
      <c r="C156" s="149"/>
      <c r="D156" s="149"/>
      <c r="E156" s="149"/>
      <c r="F156" s="149"/>
      <c r="G156" s="149"/>
      <c r="H156" s="149"/>
      <c r="I156" s="149"/>
      <c r="J156" s="149"/>
      <c r="K156" s="149"/>
      <c r="L156" s="149"/>
      <c r="M156" s="149"/>
      <c r="N156" s="149"/>
      <c r="O156" s="149"/>
      <c r="P156" s="149"/>
      <c r="Q156" s="149"/>
      <c r="R156" s="149"/>
      <c r="S156" s="149"/>
      <c r="W156" s="149"/>
      <c r="X156" s="149"/>
      <c r="Y156" s="149"/>
      <c r="Z156" s="149"/>
    </row>
    <row r="157" spans="1:26">
      <c r="A157" s="149"/>
      <c r="B157" s="149"/>
      <c r="C157" s="149"/>
      <c r="D157" s="149"/>
      <c r="E157" s="149"/>
      <c r="F157" s="149"/>
      <c r="G157" s="149"/>
      <c r="H157" s="149"/>
      <c r="I157" s="149"/>
      <c r="J157" s="149"/>
      <c r="K157" s="149"/>
      <c r="L157" s="149"/>
      <c r="M157" s="149"/>
      <c r="N157" s="149"/>
      <c r="O157" s="149"/>
      <c r="P157" s="149"/>
      <c r="Q157" s="149"/>
      <c r="R157" s="149"/>
      <c r="S157" s="149"/>
      <c r="W157" s="149"/>
      <c r="X157" s="149"/>
      <c r="Y157" s="149"/>
      <c r="Z157" s="149"/>
    </row>
    <row r="158" spans="1:26">
      <c r="A158" s="149"/>
      <c r="B158" s="149"/>
      <c r="C158" s="149"/>
      <c r="D158" s="149"/>
      <c r="E158" s="149"/>
      <c r="F158" s="149"/>
      <c r="G158" s="149"/>
      <c r="H158" s="149"/>
      <c r="I158" s="149"/>
      <c r="J158" s="149"/>
      <c r="K158" s="149"/>
      <c r="L158" s="149"/>
      <c r="M158" s="149"/>
      <c r="N158" s="149"/>
      <c r="O158" s="149"/>
      <c r="P158" s="149"/>
      <c r="Q158" s="149"/>
      <c r="R158" s="149"/>
      <c r="S158" s="149"/>
      <c r="W158" s="149"/>
      <c r="X158" s="149"/>
      <c r="Y158" s="149"/>
      <c r="Z158" s="149"/>
    </row>
    <row r="159" spans="1:26">
      <c r="A159" s="149"/>
      <c r="B159" s="149"/>
      <c r="C159" s="149"/>
      <c r="D159" s="149"/>
      <c r="E159" s="149"/>
      <c r="F159" s="149"/>
      <c r="G159" s="149"/>
      <c r="H159" s="149"/>
      <c r="I159" s="149"/>
      <c r="J159" s="149"/>
      <c r="K159" s="149"/>
      <c r="L159" s="149"/>
      <c r="M159" s="149"/>
      <c r="N159" s="149"/>
      <c r="O159" s="149"/>
      <c r="P159" s="149"/>
      <c r="Q159" s="149"/>
      <c r="R159" s="149"/>
      <c r="S159" s="149"/>
      <c r="W159" s="149"/>
      <c r="X159" s="149"/>
      <c r="Y159" s="149"/>
      <c r="Z159" s="149"/>
    </row>
    <row r="160" spans="1:26">
      <c r="A160" s="149"/>
      <c r="B160" s="149"/>
      <c r="C160" s="149"/>
      <c r="D160" s="149"/>
      <c r="E160" s="149"/>
      <c r="F160" s="149"/>
      <c r="G160" s="149"/>
      <c r="H160" s="149"/>
      <c r="I160" s="149"/>
      <c r="J160" s="149"/>
      <c r="K160" s="149"/>
      <c r="L160" s="149"/>
      <c r="M160" s="149"/>
      <c r="N160" s="149"/>
      <c r="O160" s="149"/>
      <c r="P160" s="149"/>
      <c r="Q160" s="149"/>
      <c r="R160" s="149"/>
      <c r="S160" s="149"/>
      <c r="W160" s="149"/>
      <c r="X160" s="149"/>
      <c r="Y160" s="149"/>
      <c r="Z160" s="149"/>
    </row>
    <row r="161" spans="1:26">
      <c r="A161" s="149"/>
      <c r="B161" s="149"/>
      <c r="C161" s="149"/>
      <c r="D161" s="149"/>
      <c r="E161" s="149"/>
      <c r="F161" s="149"/>
      <c r="G161" s="149"/>
      <c r="H161" s="149"/>
      <c r="I161" s="149"/>
      <c r="J161" s="149"/>
      <c r="K161" s="149"/>
      <c r="L161" s="149"/>
      <c r="M161" s="149"/>
      <c r="N161" s="149"/>
      <c r="O161" s="149"/>
      <c r="P161" s="149"/>
      <c r="Q161" s="149"/>
      <c r="R161" s="149"/>
      <c r="S161" s="149"/>
      <c r="W161" s="149"/>
      <c r="X161" s="149"/>
      <c r="Y161" s="149"/>
      <c r="Z161" s="149"/>
    </row>
    <row r="162" spans="1:26">
      <c r="A162" s="149"/>
      <c r="B162" s="149"/>
      <c r="C162" s="149"/>
      <c r="D162" s="149"/>
      <c r="E162" s="149"/>
      <c r="F162" s="149"/>
      <c r="G162" s="149"/>
      <c r="H162" s="149"/>
      <c r="I162" s="149"/>
      <c r="J162" s="149"/>
      <c r="K162" s="149"/>
      <c r="L162" s="149"/>
      <c r="M162" s="149"/>
      <c r="N162" s="149"/>
      <c r="O162" s="149"/>
      <c r="P162" s="149"/>
      <c r="Q162" s="149"/>
      <c r="R162" s="149"/>
      <c r="S162" s="149"/>
      <c r="W162" s="149"/>
      <c r="X162" s="149"/>
      <c r="Y162" s="149"/>
      <c r="Z162" s="149"/>
    </row>
    <row r="163" spans="1:26">
      <c r="A163" s="149"/>
      <c r="B163" s="149"/>
      <c r="C163" s="149"/>
      <c r="D163" s="149"/>
      <c r="E163" s="149"/>
      <c r="F163" s="149"/>
      <c r="G163" s="149"/>
      <c r="H163" s="149"/>
      <c r="I163" s="149"/>
      <c r="J163" s="149"/>
      <c r="K163" s="149"/>
      <c r="L163" s="149"/>
      <c r="M163" s="149"/>
      <c r="N163" s="149"/>
      <c r="O163" s="149"/>
      <c r="P163" s="149"/>
      <c r="Q163" s="149"/>
      <c r="R163" s="149"/>
      <c r="S163" s="149"/>
      <c r="W163" s="149"/>
      <c r="X163" s="149"/>
      <c r="Y163" s="149"/>
      <c r="Z163" s="149"/>
    </row>
    <row r="164" spans="1:26">
      <c r="A164" s="149"/>
      <c r="B164" s="149"/>
      <c r="C164" s="149"/>
      <c r="D164" s="149"/>
      <c r="E164" s="149"/>
      <c r="F164" s="149"/>
      <c r="G164" s="149"/>
      <c r="H164" s="149"/>
      <c r="I164" s="149"/>
      <c r="J164" s="149"/>
      <c r="K164" s="149"/>
      <c r="L164" s="149"/>
      <c r="M164" s="149"/>
      <c r="N164" s="149"/>
      <c r="O164" s="149"/>
      <c r="P164" s="149"/>
      <c r="Q164" s="149"/>
      <c r="R164" s="149"/>
      <c r="S164" s="149"/>
      <c r="W164" s="149"/>
      <c r="X164" s="149"/>
      <c r="Y164" s="149"/>
      <c r="Z164" s="149"/>
    </row>
    <row r="165" spans="1:26">
      <c r="A165" s="149"/>
      <c r="B165" s="149"/>
      <c r="C165" s="149"/>
      <c r="D165" s="149"/>
      <c r="E165" s="149"/>
      <c r="F165" s="149"/>
      <c r="G165" s="149"/>
      <c r="H165" s="149"/>
      <c r="I165" s="149"/>
      <c r="J165" s="149"/>
      <c r="K165" s="149"/>
      <c r="L165" s="149"/>
      <c r="M165" s="149"/>
      <c r="N165" s="149"/>
      <c r="O165" s="149"/>
      <c r="P165" s="149"/>
      <c r="Q165" s="149"/>
      <c r="R165" s="149"/>
      <c r="S165" s="149"/>
      <c r="W165" s="149"/>
      <c r="X165" s="149"/>
      <c r="Y165" s="149"/>
      <c r="Z165" s="149"/>
    </row>
    <row r="166" spans="1:26">
      <c r="A166" s="149"/>
      <c r="B166" s="149"/>
      <c r="C166" s="149"/>
      <c r="D166" s="149"/>
      <c r="E166" s="149"/>
      <c r="F166" s="149"/>
      <c r="G166" s="149"/>
      <c r="H166" s="149"/>
      <c r="I166" s="149"/>
      <c r="J166" s="149"/>
      <c r="K166" s="149"/>
      <c r="L166" s="149"/>
      <c r="M166" s="149"/>
      <c r="N166" s="149"/>
      <c r="O166" s="149"/>
      <c r="P166" s="149"/>
      <c r="Q166" s="149"/>
      <c r="R166" s="149"/>
      <c r="S166" s="149"/>
      <c r="W166" s="149"/>
      <c r="X166" s="149"/>
      <c r="Y166" s="149"/>
      <c r="Z166" s="149"/>
    </row>
    <row r="167" spans="1:26">
      <c r="A167" s="149"/>
      <c r="B167" s="149"/>
      <c r="C167" s="149"/>
      <c r="D167" s="149"/>
      <c r="E167" s="149"/>
      <c r="F167" s="149"/>
      <c r="G167" s="149"/>
      <c r="H167" s="149"/>
      <c r="I167" s="149"/>
      <c r="J167" s="149"/>
      <c r="K167" s="149"/>
      <c r="L167" s="149"/>
      <c r="M167" s="149"/>
      <c r="N167" s="149"/>
      <c r="O167" s="149"/>
      <c r="P167" s="149"/>
      <c r="Q167" s="149"/>
      <c r="R167" s="149"/>
      <c r="S167" s="149"/>
      <c r="W167" s="149"/>
      <c r="X167" s="149"/>
      <c r="Y167" s="149"/>
      <c r="Z167" s="149"/>
    </row>
    <row r="168" spans="1:26">
      <c r="A168" s="149"/>
      <c r="B168" s="149"/>
      <c r="C168" s="149"/>
      <c r="D168" s="149"/>
      <c r="E168" s="149"/>
      <c r="F168" s="149"/>
      <c r="G168" s="149"/>
      <c r="H168" s="149"/>
      <c r="I168" s="149"/>
      <c r="J168" s="149"/>
      <c r="K168" s="149"/>
      <c r="L168" s="149"/>
      <c r="M168" s="149"/>
      <c r="N168" s="149"/>
      <c r="O168" s="149"/>
      <c r="P168" s="149"/>
      <c r="Q168" s="149"/>
      <c r="R168" s="149"/>
      <c r="S168" s="149"/>
      <c r="W168" s="149"/>
      <c r="X168" s="149"/>
      <c r="Y168" s="149"/>
      <c r="Z168" s="149"/>
    </row>
    <row r="169" spans="1:26">
      <c r="A169" s="149"/>
      <c r="B169" s="149"/>
      <c r="C169" s="149"/>
      <c r="D169" s="149"/>
      <c r="E169" s="149"/>
      <c r="F169" s="149"/>
      <c r="G169" s="149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49"/>
      <c r="S169" s="149"/>
      <c r="W169" s="149"/>
      <c r="X169" s="149"/>
      <c r="Y169" s="149"/>
      <c r="Z169" s="149"/>
    </row>
    <row r="170" spans="1:26">
      <c r="A170" s="149"/>
      <c r="B170" s="149"/>
      <c r="C170" s="149"/>
      <c r="D170" s="149"/>
      <c r="E170" s="149"/>
      <c r="F170" s="149"/>
      <c r="G170" s="149"/>
      <c r="H170" s="149"/>
      <c r="I170" s="149"/>
      <c r="J170" s="149"/>
      <c r="K170" s="149"/>
      <c r="L170" s="149"/>
      <c r="M170" s="149"/>
      <c r="N170" s="149"/>
      <c r="O170" s="149"/>
      <c r="P170" s="149"/>
      <c r="Q170" s="149"/>
      <c r="R170" s="149"/>
      <c r="S170" s="149"/>
      <c r="W170" s="149"/>
      <c r="X170" s="149"/>
      <c r="Y170" s="149"/>
      <c r="Z170" s="149"/>
    </row>
    <row r="171" spans="1:26">
      <c r="A171" s="149"/>
      <c r="B171" s="149"/>
      <c r="C171" s="149"/>
      <c r="D171" s="149"/>
      <c r="E171" s="149"/>
      <c r="F171" s="149"/>
      <c r="G171" s="149"/>
      <c r="H171" s="149"/>
      <c r="I171" s="149"/>
      <c r="J171" s="149"/>
      <c r="K171" s="149"/>
      <c r="L171" s="149"/>
      <c r="M171" s="149"/>
      <c r="N171" s="149"/>
      <c r="O171" s="149"/>
      <c r="P171" s="149"/>
      <c r="Q171" s="149"/>
      <c r="R171" s="149"/>
      <c r="S171" s="149"/>
      <c r="W171" s="149"/>
      <c r="X171" s="149"/>
      <c r="Y171" s="149"/>
      <c r="Z171" s="149"/>
    </row>
    <row r="172" spans="1:26">
      <c r="A172" s="149"/>
      <c r="B172" s="149"/>
      <c r="C172" s="149"/>
      <c r="D172" s="149"/>
      <c r="E172" s="149"/>
      <c r="F172" s="149"/>
      <c r="G172" s="149"/>
      <c r="H172" s="149"/>
      <c r="I172" s="149"/>
      <c r="J172" s="149"/>
      <c r="K172" s="149"/>
      <c r="L172" s="149"/>
      <c r="M172" s="149"/>
      <c r="N172" s="149"/>
      <c r="O172" s="149"/>
      <c r="P172" s="149"/>
      <c r="Q172" s="149"/>
      <c r="R172" s="149"/>
      <c r="S172" s="149"/>
      <c r="W172" s="149"/>
      <c r="X172" s="149"/>
      <c r="Y172" s="149"/>
      <c r="Z172" s="149"/>
    </row>
    <row r="173" spans="1:26">
      <c r="A173" s="149"/>
      <c r="B173" s="149"/>
      <c r="C173" s="149"/>
      <c r="D173" s="149"/>
      <c r="E173" s="149"/>
      <c r="F173" s="149"/>
      <c r="G173" s="149"/>
      <c r="H173" s="149"/>
      <c r="I173" s="149"/>
      <c r="J173" s="149"/>
      <c r="K173" s="149"/>
      <c r="L173" s="149"/>
      <c r="M173" s="149"/>
      <c r="N173" s="149"/>
      <c r="O173" s="149"/>
      <c r="P173" s="149"/>
      <c r="Q173" s="149"/>
      <c r="R173" s="149"/>
      <c r="S173" s="149"/>
      <c r="W173" s="149"/>
      <c r="X173" s="149"/>
      <c r="Y173" s="149"/>
      <c r="Z173" s="149"/>
    </row>
    <row r="174" spans="1:26">
      <c r="A174" s="149"/>
      <c r="B174" s="149"/>
      <c r="C174" s="149"/>
      <c r="D174" s="149"/>
      <c r="E174" s="149"/>
      <c r="F174" s="149"/>
      <c r="G174" s="149"/>
      <c r="H174" s="149"/>
      <c r="I174" s="149"/>
      <c r="J174" s="149"/>
      <c r="K174" s="149"/>
      <c r="L174" s="149"/>
      <c r="M174" s="149"/>
      <c r="N174" s="149"/>
      <c r="O174" s="149"/>
      <c r="P174" s="149"/>
      <c r="Q174" s="149"/>
      <c r="R174" s="149"/>
      <c r="S174" s="149"/>
      <c r="W174" s="149"/>
      <c r="X174" s="149"/>
      <c r="Y174" s="149"/>
      <c r="Z174" s="149"/>
    </row>
    <row r="175" spans="1:26">
      <c r="A175" s="149"/>
      <c r="B175" s="149"/>
      <c r="C175" s="149"/>
      <c r="D175" s="149"/>
      <c r="E175" s="149"/>
      <c r="F175" s="149"/>
      <c r="G175" s="149"/>
      <c r="H175" s="149"/>
      <c r="I175" s="149"/>
      <c r="J175" s="149"/>
      <c r="K175" s="149"/>
      <c r="L175" s="149"/>
      <c r="M175" s="149"/>
      <c r="N175" s="149"/>
      <c r="O175" s="149"/>
      <c r="P175" s="149"/>
      <c r="Q175" s="149"/>
      <c r="R175" s="149"/>
      <c r="S175" s="149"/>
      <c r="W175" s="149"/>
      <c r="X175" s="149"/>
      <c r="Y175" s="149"/>
      <c r="Z175" s="149"/>
    </row>
    <row r="176" spans="1:26">
      <c r="A176" s="149"/>
      <c r="B176" s="149"/>
      <c r="C176" s="149"/>
      <c r="D176" s="149"/>
      <c r="E176" s="149"/>
      <c r="F176" s="149"/>
      <c r="G176" s="149"/>
      <c r="H176" s="149"/>
      <c r="I176" s="149"/>
      <c r="J176" s="149"/>
      <c r="K176" s="149"/>
      <c r="L176" s="149"/>
      <c r="M176" s="149"/>
      <c r="N176" s="149"/>
      <c r="O176" s="149"/>
      <c r="P176" s="149"/>
      <c r="Q176" s="149"/>
      <c r="R176" s="149"/>
      <c r="S176" s="149"/>
      <c r="W176" s="149"/>
      <c r="X176" s="149"/>
      <c r="Y176" s="149"/>
      <c r="Z176" s="149"/>
    </row>
    <row r="177" spans="1:26">
      <c r="A177" s="149"/>
      <c r="B177" s="149"/>
      <c r="C177" s="149"/>
      <c r="D177" s="149"/>
      <c r="E177" s="149"/>
      <c r="F177" s="149"/>
      <c r="G177" s="149"/>
      <c r="H177" s="149"/>
      <c r="I177" s="149"/>
      <c r="J177" s="149"/>
      <c r="K177" s="149"/>
      <c r="L177" s="149"/>
      <c r="M177" s="149"/>
      <c r="N177" s="149"/>
      <c r="O177" s="149"/>
      <c r="P177" s="149"/>
      <c r="Q177" s="149"/>
      <c r="R177" s="149"/>
      <c r="S177" s="149"/>
      <c r="W177" s="149"/>
      <c r="X177" s="149"/>
      <c r="Y177" s="149"/>
      <c r="Z177" s="149"/>
    </row>
    <row r="178" spans="1:26">
      <c r="A178" s="149"/>
      <c r="B178" s="149"/>
      <c r="C178" s="149"/>
      <c r="D178" s="149"/>
      <c r="E178" s="149"/>
      <c r="F178" s="149"/>
      <c r="G178" s="149"/>
      <c r="H178" s="149"/>
      <c r="I178" s="149"/>
      <c r="J178" s="149"/>
      <c r="K178" s="149"/>
      <c r="L178" s="149"/>
      <c r="M178" s="149"/>
      <c r="N178" s="149"/>
      <c r="O178" s="149"/>
      <c r="P178" s="149"/>
      <c r="Q178" s="149"/>
      <c r="R178" s="149"/>
      <c r="S178" s="149"/>
      <c r="W178" s="149"/>
      <c r="X178" s="149"/>
      <c r="Y178" s="149"/>
      <c r="Z178" s="149"/>
    </row>
    <row r="179" spans="1:26">
      <c r="A179" s="149"/>
      <c r="B179" s="149"/>
      <c r="C179" s="149"/>
      <c r="D179" s="149"/>
      <c r="E179" s="149"/>
      <c r="F179" s="149"/>
      <c r="G179" s="149"/>
      <c r="H179" s="149"/>
      <c r="I179" s="149"/>
      <c r="J179" s="149"/>
      <c r="K179" s="149"/>
      <c r="L179" s="149"/>
      <c r="M179" s="149"/>
      <c r="N179" s="149"/>
      <c r="O179" s="149"/>
      <c r="P179" s="149"/>
      <c r="Q179" s="149"/>
      <c r="R179" s="149"/>
      <c r="S179" s="149"/>
      <c r="W179" s="149"/>
      <c r="X179" s="149"/>
      <c r="Y179" s="149"/>
      <c r="Z179" s="149"/>
    </row>
    <row r="180" spans="1:26">
      <c r="A180" s="149"/>
      <c r="B180" s="149"/>
      <c r="C180" s="149"/>
      <c r="D180" s="149"/>
      <c r="E180" s="149"/>
      <c r="F180" s="149"/>
      <c r="G180" s="149"/>
      <c r="H180" s="149"/>
      <c r="I180" s="149"/>
      <c r="J180" s="149"/>
      <c r="K180" s="149"/>
      <c r="L180" s="149"/>
      <c r="M180" s="149"/>
      <c r="N180" s="149"/>
      <c r="O180" s="149"/>
      <c r="P180" s="149"/>
      <c r="Q180" s="149"/>
      <c r="R180" s="149"/>
      <c r="S180" s="149"/>
      <c r="W180" s="149"/>
      <c r="X180" s="149"/>
      <c r="Y180" s="149"/>
      <c r="Z180" s="149"/>
    </row>
    <row r="181" spans="1:26">
      <c r="A181" s="149"/>
      <c r="B181" s="149"/>
      <c r="C181" s="149"/>
      <c r="D181" s="149"/>
      <c r="E181" s="149"/>
      <c r="F181" s="149"/>
      <c r="G181" s="149"/>
      <c r="H181" s="149"/>
      <c r="I181" s="149"/>
      <c r="J181" s="149"/>
      <c r="K181" s="149"/>
      <c r="L181" s="149"/>
      <c r="M181" s="149"/>
      <c r="N181" s="149"/>
      <c r="O181" s="149"/>
      <c r="P181" s="149"/>
      <c r="Q181" s="149"/>
      <c r="R181" s="149"/>
      <c r="S181" s="149"/>
      <c r="W181" s="149"/>
      <c r="X181" s="149"/>
      <c r="Y181" s="149"/>
      <c r="Z181" s="149"/>
    </row>
    <row r="182" spans="1:26">
      <c r="A182" s="149"/>
      <c r="B182" s="149"/>
      <c r="C182" s="149"/>
      <c r="D182" s="149"/>
      <c r="E182" s="149"/>
      <c r="F182" s="149"/>
      <c r="G182" s="149"/>
      <c r="H182" s="149"/>
      <c r="I182" s="149"/>
      <c r="J182" s="149"/>
      <c r="K182" s="149"/>
      <c r="L182" s="149"/>
      <c r="M182" s="149"/>
      <c r="N182" s="149"/>
      <c r="O182" s="149"/>
      <c r="P182" s="149"/>
      <c r="Q182" s="149"/>
      <c r="R182" s="149"/>
      <c r="S182" s="149"/>
      <c r="W182" s="149"/>
      <c r="X182" s="149"/>
      <c r="Y182" s="149"/>
      <c r="Z182" s="149"/>
    </row>
    <row r="183" spans="1:26">
      <c r="A183" s="149"/>
      <c r="B183" s="149"/>
      <c r="C183" s="149"/>
      <c r="D183" s="149"/>
      <c r="E183" s="149"/>
      <c r="F183" s="149"/>
      <c r="G183" s="149"/>
      <c r="H183" s="149"/>
      <c r="I183" s="149"/>
      <c r="J183" s="149"/>
      <c r="K183" s="149"/>
      <c r="L183" s="149"/>
      <c r="M183" s="149"/>
      <c r="N183" s="149"/>
      <c r="O183" s="149"/>
      <c r="P183" s="149"/>
      <c r="Q183" s="149"/>
      <c r="R183" s="149"/>
      <c r="S183" s="149"/>
      <c r="W183" s="149"/>
      <c r="X183" s="149"/>
      <c r="Y183" s="149"/>
      <c r="Z183" s="149"/>
    </row>
    <row r="184" spans="1:26">
      <c r="A184" s="149"/>
      <c r="B184" s="149"/>
      <c r="C184" s="149"/>
      <c r="D184" s="149"/>
      <c r="E184" s="149"/>
      <c r="F184" s="149"/>
      <c r="G184" s="149"/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W184" s="149"/>
      <c r="X184" s="149"/>
      <c r="Y184" s="149"/>
      <c r="Z184" s="149"/>
    </row>
    <row r="185" spans="1:26">
      <c r="A185" s="149"/>
      <c r="B185" s="149"/>
      <c r="C185" s="149"/>
      <c r="D185" s="149"/>
      <c r="E185" s="149"/>
      <c r="F185" s="149"/>
      <c r="G185" s="149"/>
      <c r="H185" s="149"/>
      <c r="I185" s="149"/>
      <c r="J185" s="149"/>
      <c r="K185" s="149"/>
      <c r="L185" s="149"/>
      <c r="M185" s="149"/>
      <c r="N185" s="149"/>
      <c r="O185" s="149"/>
      <c r="P185" s="149"/>
      <c r="Q185" s="149"/>
      <c r="R185" s="149"/>
      <c r="S185" s="149"/>
      <c r="W185" s="149"/>
      <c r="X185" s="149"/>
      <c r="Y185" s="149"/>
      <c r="Z185" s="149"/>
    </row>
    <row r="186" spans="1:26">
      <c r="A186" s="149"/>
      <c r="B186" s="149"/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W186" s="149"/>
      <c r="X186" s="149"/>
      <c r="Y186" s="149"/>
      <c r="Z186" s="149"/>
    </row>
    <row r="187" spans="1:26">
      <c r="A187" s="149"/>
      <c r="B187" s="149"/>
      <c r="C187" s="149"/>
      <c r="D187" s="149"/>
      <c r="E187" s="149"/>
      <c r="F187" s="149"/>
      <c r="G187" s="149"/>
      <c r="H187" s="149"/>
      <c r="I187" s="149"/>
      <c r="J187" s="149"/>
      <c r="K187" s="149"/>
      <c r="L187" s="149"/>
      <c r="M187" s="149"/>
      <c r="N187" s="149"/>
      <c r="O187" s="149"/>
      <c r="P187" s="149"/>
      <c r="Q187" s="149"/>
      <c r="R187" s="149"/>
      <c r="S187" s="149"/>
      <c r="W187" s="149"/>
      <c r="X187" s="149"/>
      <c r="Y187" s="149"/>
      <c r="Z187" s="149"/>
    </row>
    <row r="188" spans="1:26">
      <c r="A188" s="149"/>
      <c r="B188" s="149"/>
      <c r="C188" s="149"/>
      <c r="D188" s="149"/>
      <c r="E188" s="149"/>
      <c r="F188" s="149"/>
      <c r="G188" s="149"/>
      <c r="H188" s="149"/>
      <c r="I188" s="149"/>
      <c r="J188" s="149"/>
      <c r="K188" s="149"/>
      <c r="L188" s="149"/>
      <c r="M188" s="149"/>
      <c r="N188" s="149"/>
      <c r="O188" s="149"/>
      <c r="P188" s="149"/>
      <c r="Q188" s="149"/>
      <c r="R188" s="149"/>
      <c r="S188" s="149"/>
      <c r="W188" s="149"/>
      <c r="X188" s="149"/>
      <c r="Y188" s="149"/>
      <c r="Z188" s="149"/>
    </row>
    <row r="189" spans="1:26">
      <c r="A189" s="149"/>
      <c r="B189" s="149"/>
      <c r="C189" s="149"/>
      <c r="D189" s="149"/>
      <c r="E189" s="149"/>
      <c r="F189" s="149"/>
      <c r="G189" s="149"/>
      <c r="H189" s="149"/>
      <c r="I189" s="149"/>
      <c r="J189" s="149"/>
      <c r="K189" s="149"/>
      <c r="L189" s="149"/>
      <c r="M189" s="149"/>
      <c r="N189" s="149"/>
      <c r="O189" s="149"/>
      <c r="P189" s="149"/>
      <c r="Q189" s="149"/>
      <c r="R189" s="149"/>
      <c r="S189" s="149"/>
      <c r="W189" s="149"/>
      <c r="X189" s="149"/>
      <c r="Y189" s="149"/>
      <c r="Z189" s="149"/>
    </row>
    <row r="190" spans="1:26">
      <c r="A190" s="149"/>
      <c r="B190" s="149"/>
      <c r="C190" s="149"/>
      <c r="D190" s="149"/>
      <c r="E190" s="149"/>
      <c r="F190" s="149"/>
      <c r="G190" s="149"/>
      <c r="H190" s="149"/>
      <c r="I190" s="149"/>
      <c r="J190" s="149"/>
      <c r="K190" s="149"/>
      <c r="L190" s="149"/>
      <c r="M190" s="149"/>
      <c r="N190" s="149"/>
      <c r="O190" s="149"/>
      <c r="P190" s="149"/>
      <c r="Q190" s="149"/>
      <c r="R190" s="149"/>
      <c r="S190" s="149"/>
      <c r="W190" s="149"/>
      <c r="X190" s="149"/>
      <c r="Y190" s="149"/>
      <c r="Z190" s="149"/>
    </row>
    <row r="191" spans="1:26">
      <c r="A191" s="149"/>
      <c r="B191" s="149"/>
      <c r="C191" s="149"/>
      <c r="D191" s="149"/>
      <c r="E191" s="149"/>
      <c r="F191" s="149"/>
      <c r="G191" s="149"/>
      <c r="H191" s="149"/>
      <c r="I191" s="149"/>
      <c r="J191" s="149"/>
      <c r="K191" s="149"/>
      <c r="L191" s="149"/>
      <c r="M191" s="149"/>
      <c r="N191" s="149"/>
      <c r="O191" s="149"/>
      <c r="P191" s="149"/>
      <c r="Q191" s="149"/>
      <c r="R191" s="149"/>
      <c r="S191" s="149"/>
      <c r="W191" s="149"/>
      <c r="X191" s="149"/>
      <c r="Y191" s="149"/>
      <c r="Z191" s="149"/>
    </row>
    <row r="192" spans="1:26">
      <c r="A192" s="149"/>
      <c r="B192" s="149"/>
      <c r="C192" s="149"/>
      <c r="D192" s="149"/>
      <c r="E192" s="149"/>
      <c r="F192" s="149"/>
      <c r="G192" s="149"/>
      <c r="H192" s="149"/>
      <c r="I192" s="149"/>
      <c r="J192" s="149"/>
      <c r="K192" s="149"/>
      <c r="L192" s="149"/>
      <c r="M192" s="149"/>
      <c r="N192" s="149"/>
      <c r="O192" s="149"/>
      <c r="P192" s="149"/>
      <c r="Q192" s="149"/>
      <c r="R192" s="149"/>
      <c r="S192" s="149"/>
      <c r="W192" s="149"/>
      <c r="X192" s="149"/>
      <c r="Y192" s="149"/>
      <c r="Z192" s="149"/>
    </row>
    <row r="193" spans="1:26">
      <c r="A193" s="149"/>
      <c r="B193" s="149"/>
      <c r="C193" s="149"/>
      <c r="D193" s="149"/>
      <c r="E193" s="149"/>
      <c r="F193" s="149"/>
      <c r="G193" s="149"/>
      <c r="H193" s="149"/>
      <c r="I193" s="149"/>
      <c r="J193" s="149"/>
      <c r="K193" s="149"/>
      <c r="L193" s="149"/>
      <c r="M193" s="149"/>
      <c r="N193" s="149"/>
      <c r="O193" s="149"/>
      <c r="P193" s="149"/>
      <c r="Q193" s="149"/>
      <c r="R193" s="149"/>
      <c r="S193" s="149"/>
      <c r="W193" s="149"/>
      <c r="X193" s="149"/>
      <c r="Y193" s="149"/>
      <c r="Z193" s="149"/>
    </row>
    <row r="194" spans="1:26">
      <c r="A194" s="149"/>
      <c r="B194" s="149"/>
      <c r="C194" s="149"/>
      <c r="D194" s="149"/>
      <c r="E194" s="149"/>
      <c r="F194" s="149"/>
      <c r="G194" s="149"/>
      <c r="H194" s="149"/>
      <c r="I194" s="149"/>
      <c r="J194" s="149"/>
      <c r="K194" s="149"/>
      <c r="L194" s="149"/>
      <c r="M194" s="149"/>
      <c r="N194" s="149"/>
      <c r="O194" s="149"/>
      <c r="P194" s="149"/>
      <c r="Q194" s="149"/>
      <c r="R194" s="149"/>
      <c r="S194" s="149"/>
      <c r="W194" s="149"/>
      <c r="X194" s="149"/>
      <c r="Y194" s="149"/>
      <c r="Z194" s="149"/>
    </row>
    <row r="195" spans="1:26">
      <c r="A195" s="149"/>
      <c r="B195" s="149"/>
      <c r="C195" s="149"/>
      <c r="D195" s="149"/>
      <c r="E195" s="149"/>
      <c r="F195" s="149"/>
      <c r="G195" s="149"/>
      <c r="H195" s="149"/>
      <c r="I195" s="149"/>
      <c r="J195" s="149"/>
      <c r="K195" s="149"/>
      <c r="L195" s="149"/>
      <c r="M195" s="149"/>
      <c r="N195" s="149"/>
      <c r="O195" s="149"/>
      <c r="P195" s="149"/>
      <c r="Q195" s="149"/>
      <c r="R195" s="149"/>
      <c r="S195" s="149"/>
      <c r="W195" s="149"/>
      <c r="X195" s="149"/>
      <c r="Y195" s="149"/>
      <c r="Z195" s="149"/>
    </row>
    <row r="196" spans="1:26">
      <c r="A196" s="149"/>
      <c r="B196" s="149"/>
      <c r="C196" s="149"/>
      <c r="D196" s="149"/>
      <c r="E196" s="149"/>
      <c r="F196" s="149"/>
      <c r="G196" s="149"/>
      <c r="H196" s="149"/>
      <c r="I196" s="149"/>
      <c r="J196" s="149"/>
      <c r="K196" s="149"/>
      <c r="L196" s="149"/>
      <c r="M196" s="149"/>
      <c r="N196" s="149"/>
      <c r="O196" s="149"/>
      <c r="P196" s="149"/>
      <c r="Q196" s="149"/>
      <c r="R196" s="149"/>
      <c r="S196" s="149"/>
      <c r="W196" s="149"/>
      <c r="X196" s="149"/>
      <c r="Y196" s="149"/>
      <c r="Z196" s="149"/>
    </row>
    <row r="197" spans="1:26">
      <c r="A197" s="149"/>
      <c r="B197" s="149"/>
      <c r="C197" s="149"/>
      <c r="D197" s="149"/>
      <c r="E197" s="149"/>
      <c r="F197" s="149"/>
      <c r="G197" s="149"/>
      <c r="H197" s="149"/>
      <c r="I197" s="149"/>
      <c r="J197" s="149"/>
      <c r="K197" s="149"/>
      <c r="L197" s="149"/>
      <c r="M197" s="149"/>
      <c r="N197" s="149"/>
      <c r="O197" s="149"/>
      <c r="P197" s="149"/>
      <c r="Q197" s="149"/>
      <c r="R197" s="149"/>
      <c r="S197" s="149"/>
      <c r="W197" s="149"/>
      <c r="X197" s="149"/>
      <c r="Y197" s="149"/>
      <c r="Z197" s="149"/>
    </row>
    <row r="198" spans="1:26">
      <c r="A198" s="149"/>
      <c r="B198" s="149"/>
      <c r="C198" s="149"/>
      <c r="D198" s="149"/>
      <c r="E198" s="149"/>
      <c r="F198" s="149"/>
      <c r="G198" s="149"/>
      <c r="H198" s="149"/>
      <c r="I198" s="149"/>
      <c r="J198" s="149"/>
      <c r="K198" s="149"/>
      <c r="L198" s="149"/>
      <c r="M198" s="149"/>
      <c r="N198" s="149"/>
      <c r="O198" s="149"/>
      <c r="P198" s="149"/>
      <c r="Q198" s="149"/>
      <c r="R198" s="149"/>
      <c r="S198" s="149"/>
      <c r="W198" s="149"/>
      <c r="X198" s="149"/>
      <c r="Y198" s="149"/>
      <c r="Z198" s="149"/>
    </row>
    <row r="199" spans="1:26">
      <c r="A199" s="149"/>
      <c r="B199" s="149"/>
      <c r="C199" s="149"/>
      <c r="D199" s="149"/>
      <c r="E199" s="149"/>
      <c r="F199" s="149"/>
      <c r="G199" s="149"/>
      <c r="H199" s="149"/>
      <c r="I199" s="149"/>
      <c r="J199" s="149"/>
      <c r="K199" s="149"/>
      <c r="L199" s="149"/>
      <c r="M199" s="149"/>
      <c r="N199" s="149"/>
      <c r="O199" s="149"/>
      <c r="P199" s="149"/>
      <c r="Q199" s="149"/>
      <c r="R199" s="149"/>
      <c r="S199" s="149"/>
      <c r="W199" s="149"/>
      <c r="X199" s="149"/>
      <c r="Y199" s="149"/>
      <c r="Z199" s="149"/>
    </row>
    <row r="200" spans="1:26">
      <c r="A200" s="149"/>
      <c r="B200" s="149"/>
      <c r="C200" s="149"/>
      <c r="D200" s="149"/>
      <c r="E200" s="149"/>
      <c r="F200" s="149"/>
      <c r="G200" s="149"/>
      <c r="H200" s="149"/>
      <c r="I200" s="149"/>
      <c r="J200" s="149"/>
      <c r="K200" s="149"/>
      <c r="L200" s="149"/>
      <c r="M200" s="149"/>
      <c r="N200" s="149"/>
      <c r="O200" s="149"/>
      <c r="P200" s="149"/>
      <c r="Q200" s="149"/>
      <c r="R200" s="149"/>
      <c r="S200" s="149"/>
      <c r="W200" s="149"/>
      <c r="X200" s="149"/>
      <c r="Y200" s="149"/>
      <c r="Z200" s="149"/>
    </row>
    <row r="201" spans="1:26">
      <c r="A201" s="149"/>
      <c r="B201" s="149"/>
      <c r="C201" s="149"/>
      <c r="D201" s="149"/>
      <c r="E201" s="149"/>
      <c r="F201" s="149"/>
      <c r="G201" s="149"/>
      <c r="H201" s="149"/>
      <c r="I201" s="149"/>
      <c r="J201" s="149"/>
      <c r="K201" s="149"/>
      <c r="L201" s="149"/>
      <c r="M201" s="149"/>
      <c r="N201" s="149"/>
      <c r="O201" s="149"/>
      <c r="P201" s="149"/>
      <c r="Q201" s="149"/>
      <c r="R201" s="149"/>
      <c r="S201" s="149"/>
      <c r="W201" s="149"/>
      <c r="X201" s="149"/>
      <c r="Y201" s="149"/>
      <c r="Z201" s="149"/>
    </row>
    <row r="202" spans="1:26">
      <c r="A202" s="149"/>
      <c r="B202" s="149"/>
      <c r="C202" s="149"/>
      <c r="D202" s="149"/>
      <c r="E202" s="149"/>
      <c r="F202" s="149"/>
      <c r="G202" s="149"/>
      <c r="H202" s="149"/>
      <c r="I202" s="149"/>
      <c r="J202" s="149"/>
      <c r="K202" s="149"/>
      <c r="L202" s="149"/>
      <c r="M202" s="149"/>
      <c r="N202" s="149"/>
      <c r="O202" s="149"/>
      <c r="P202" s="149"/>
      <c r="Q202" s="149"/>
      <c r="R202" s="149"/>
      <c r="S202" s="149"/>
      <c r="W202" s="149"/>
      <c r="X202" s="149"/>
      <c r="Y202" s="149"/>
      <c r="Z202" s="149"/>
    </row>
    <row r="203" spans="1:26">
      <c r="A203" s="149"/>
      <c r="B203" s="149"/>
      <c r="C203" s="149"/>
      <c r="D203" s="149"/>
      <c r="E203" s="149"/>
      <c r="F203" s="149"/>
      <c r="G203" s="149"/>
      <c r="H203" s="149"/>
      <c r="I203" s="149"/>
      <c r="J203" s="149"/>
      <c r="K203" s="149"/>
      <c r="L203" s="149"/>
      <c r="M203" s="149"/>
      <c r="N203" s="149"/>
      <c r="O203" s="149"/>
      <c r="P203" s="149"/>
      <c r="Q203" s="149"/>
      <c r="R203" s="149"/>
      <c r="S203" s="149"/>
      <c r="W203" s="149"/>
      <c r="X203" s="149"/>
      <c r="Y203" s="149"/>
      <c r="Z203" s="149"/>
    </row>
    <row r="204" spans="1:26">
      <c r="A204" s="149"/>
      <c r="B204" s="149"/>
      <c r="C204" s="149"/>
      <c r="D204" s="149"/>
      <c r="E204" s="149"/>
      <c r="F204" s="149"/>
      <c r="G204" s="149"/>
      <c r="H204" s="149"/>
      <c r="I204" s="149"/>
      <c r="J204" s="149"/>
      <c r="K204" s="149"/>
      <c r="L204" s="149"/>
      <c r="M204" s="149"/>
      <c r="N204" s="149"/>
      <c r="O204" s="149"/>
      <c r="P204" s="149"/>
      <c r="Q204" s="149"/>
      <c r="R204" s="149"/>
      <c r="S204" s="149"/>
      <c r="W204" s="149"/>
      <c r="X204" s="149"/>
      <c r="Y204" s="149"/>
      <c r="Z204" s="149"/>
    </row>
    <row r="205" spans="1:26">
      <c r="A205" s="149"/>
      <c r="B205" s="149"/>
      <c r="C205" s="149"/>
      <c r="D205" s="149"/>
      <c r="E205" s="149"/>
      <c r="F205" s="149"/>
      <c r="G205" s="149"/>
      <c r="H205" s="149"/>
      <c r="I205" s="149"/>
      <c r="J205" s="149"/>
      <c r="K205" s="149"/>
      <c r="L205" s="149"/>
      <c r="M205" s="149"/>
      <c r="N205" s="149"/>
      <c r="O205" s="149"/>
      <c r="P205" s="149"/>
      <c r="Q205" s="149"/>
      <c r="R205" s="149"/>
      <c r="S205" s="149"/>
      <c r="W205" s="149"/>
      <c r="X205" s="149"/>
      <c r="Y205" s="149"/>
      <c r="Z205" s="149"/>
    </row>
    <row r="206" spans="1:26">
      <c r="A206" s="149"/>
      <c r="B206" s="149"/>
      <c r="C206" s="149"/>
      <c r="D206" s="149"/>
      <c r="E206" s="149"/>
      <c r="F206" s="149"/>
      <c r="G206" s="149"/>
      <c r="H206" s="149"/>
      <c r="I206" s="149"/>
      <c r="J206" s="149"/>
      <c r="K206" s="149"/>
      <c r="L206" s="149"/>
      <c r="M206" s="149"/>
      <c r="N206" s="149"/>
      <c r="O206" s="149"/>
      <c r="P206" s="149"/>
      <c r="Q206" s="149"/>
      <c r="R206" s="149"/>
      <c r="S206" s="149"/>
      <c r="W206" s="149"/>
      <c r="X206" s="149"/>
      <c r="Y206" s="149"/>
      <c r="Z206" s="149"/>
    </row>
    <row r="207" spans="1:26">
      <c r="A207" s="149"/>
      <c r="B207" s="149"/>
      <c r="C207" s="149"/>
      <c r="D207" s="149"/>
      <c r="E207" s="149"/>
      <c r="F207" s="149"/>
      <c r="G207" s="149"/>
      <c r="H207" s="149"/>
      <c r="I207" s="149"/>
      <c r="J207" s="149"/>
      <c r="K207" s="149"/>
      <c r="L207" s="149"/>
      <c r="M207" s="149"/>
      <c r="N207" s="149"/>
      <c r="O207" s="149"/>
      <c r="P207" s="149"/>
      <c r="Q207" s="149"/>
      <c r="R207" s="149"/>
      <c r="S207" s="149"/>
      <c r="W207" s="149"/>
      <c r="X207" s="149"/>
      <c r="Y207" s="149"/>
      <c r="Z207" s="149"/>
    </row>
    <row r="208" spans="1:26">
      <c r="A208" s="149"/>
      <c r="B208" s="149"/>
      <c r="C208" s="149"/>
      <c r="D208" s="149"/>
      <c r="E208" s="149"/>
      <c r="F208" s="149"/>
      <c r="G208" s="149"/>
      <c r="H208" s="149"/>
      <c r="I208" s="149"/>
      <c r="J208" s="149"/>
      <c r="K208" s="149"/>
      <c r="L208" s="149"/>
      <c r="M208" s="149"/>
      <c r="N208" s="149"/>
      <c r="O208" s="149"/>
      <c r="P208" s="149"/>
      <c r="Q208" s="149"/>
      <c r="R208" s="149"/>
      <c r="S208" s="149"/>
      <c r="W208" s="149"/>
      <c r="X208" s="149"/>
      <c r="Y208" s="149"/>
      <c r="Z208" s="149"/>
    </row>
    <row r="209" spans="1:26">
      <c r="A209" s="149"/>
      <c r="B209" s="149"/>
      <c r="C209" s="149"/>
      <c r="D209" s="149"/>
      <c r="E209" s="149"/>
      <c r="F209" s="149"/>
      <c r="G209" s="149"/>
      <c r="H209" s="149"/>
      <c r="I209" s="149"/>
      <c r="J209" s="149"/>
      <c r="K209" s="149"/>
      <c r="L209" s="149"/>
      <c r="M209" s="149"/>
      <c r="N209" s="149"/>
      <c r="O209" s="149"/>
      <c r="P209" s="149"/>
      <c r="Q209" s="149"/>
      <c r="R209" s="149"/>
      <c r="S209" s="149"/>
      <c r="W209" s="149"/>
      <c r="X209" s="149"/>
      <c r="Y209" s="149"/>
      <c r="Z209" s="149"/>
    </row>
    <row r="210" spans="1:26">
      <c r="A210" s="149"/>
      <c r="B210" s="149"/>
      <c r="C210" s="149"/>
      <c r="D210" s="149"/>
      <c r="E210" s="149"/>
      <c r="F210" s="149"/>
      <c r="G210" s="149"/>
      <c r="H210" s="149"/>
      <c r="I210" s="149"/>
      <c r="J210" s="149"/>
      <c r="K210" s="149"/>
      <c r="L210" s="149"/>
      <c r="M210" s="149"/>
      <c r="N210" s="149"/>
      <c r="O210" s="149"/>
      <c r="P210" s="149"/>
      <c r="Q210" s="149"/>
      <c r="R210" s="149"/>
      <c r="S210" s="149"/>
      <c r="W210" s="149"/>
      <c r="X210" s="149"/>
      <c r="Y210" s="149"/>
      <c r="Z210" s="149"/>
    </row>
    <row r="211" spans="1:26">
      <c r="A211" s="149"/>
      <c r="B211" s="149"/>
      <c r="C211" s="149"/>
      <c r="D211" s="149"/>
      <c r="E211" s="149"/>
      <c r="F211" s="149"/>
      <c r="G211" s="149"/>
      <c r="H211" s="149"/>
      <c r="I211" s="149"/>
      <c r="J211" s="149"/>
      <c r="K211" s="149"/>
      <c r="L211" s="149"/>
      <c r="M211" s="149"/>
      <c r="N211" s="149"/>
      <c r="O211" s="149"/>
      <c r="P211" s="149"/>
      <c r="Q211" s="149"/>
      <c r="R211" s="149"/>
      <c r="S211" s="149"/>
      <c r="W211" s="149"/>
      <c r="X211" s="149"/>
      <c r="Y211" s="149"/>
      <c r="Z211" s="149"/>
    </row>
    <row r="212" spans="1:26">
      <c r="A212" s="149"/>
      <c r="B212" s="149"/>
      <c r="C212" s="149"/>
      <c r="D212" s="149"/>
      <c r="E212" s="149"/>
      <c r="F212" s="149"/>
      <c r="G212" s="149"/>
      <c r="H212" s="149"/>
      <c r="I212" s="149"/>
      <c r="J212" s="149"/>
      <c r="K212" s="149"/>
      <c r="L212" s="149"/>
      <c r="M212" s="149"/>
      <c r="N212" s="149"/>
      <c r="O212" s="149"/>
      <c r="P212" s="149"/>
      <c r="Q212" s="149"/>
      <c r="R212" s="149"/>
      <c r="S212" s="149"/>
      <c r="W212" s="149"/>
      <c r="X212" s="149"/>
      <c r="Y212" s="149"/>
      <c r="Z212" s="149"/>
    </row>
    <row r="213" spans="1:26">
      <c r="A213" s="149"/>
      <c r="B213" s="149"/>
      <c r="C213" s="149"/>
      <c r="D213" s="149"/>
      <c r="E213" s="149"/>
      <c r="F213" s="149"/>
      <c r="G213" s="149"/>
      <c r="H213" s="149"/>
      <c r="I213" s="149"/>
      <c r="J213" s="149"/>
      <c r="K213" s="149"/>
      <c r="L213" s="149"/>
      <c r="M213" s="149"/>
      <c r="N213" s="149"/>
      <c r="O213" s="149"/>
      <c r="P213" s="149"/>
      <c r="Q213" s="149"/>
      <c r="R213" s="149"/>
      <c r="S213" s="149"/>
      <c r="W213" s="149"/>
      <c r="X213" s="149"/>
      <c r="Y213" s="149"/>
      <c r="Z213" s="149"/>
    </row>
    <row r="214" spans="1:26">
      <c r="A214" s="149"/>
      <c r="B214" s="149"/>
      <c r="C214" s="149"/>
      <c r="D214" s="149"/>
      <c r="E214" s="149"/>
      <c r="F214" s="149"/>
      <c r="G214" s="149"/>
      <c r="H214" s="149"/>
      <c r="I214" s="149"/>
      <c r="J214" s="149"/>
      <c r="K214" s="149"/>
      <c r="L214" s="149"/>
      <c r="M214" s="149"/>
      <c r="N214" s="149"/>
      <c r="O214" s="149"/>
      <c r="P214" s="149"/>
      <c r="Q214" s="149"/>
      <c r="R214" s="149"/>
      <c r="S214" s="149"/>
      <c r="W214" s="149"/>
      <c r="X214" s="149"/>
      <c r="Y214" s="149"/>
      <c r="Z214" s="149"/>
    </row>
    <row r="215" spans="1:26">
      <c r="A215" s="149"/>
      <c r="B215" s="149"/>
      <c r="C215" s="149"/>
      <c r="D215" s="149"/>
      <c r="E215" s="149"/>
      <c r="F215" s="149"/>
      <c r="G215" s="149"/>
      <c r="H215" s="149"/>
      <c r="I215" s="149"/>
      <c r="J215" s="149"/>
      <c r="K215" s="149"/>
      <c r="L215" s="149"/>
      <c r="M215" s="149"/>
      <c r="N215" s="149"/>
      <c r="O215" s="149"/>
      <c r="P215" s="149"/>
      <c r="Q215" s="149"/>
      <c r="R215" s="149"/>
      <c r="S215" s="149"/>
      <c r="W215" s="149"/>
      <c r="X215" s="149"/>
      <c r="Y215" s="149"/>
      <c r="Z215" s="149"/>
    </row>
    <row r="216" spans="1:26">
      <c r="A216" s="149"/>
      <c r="B216" s="149"/>
      <c r="C216" s="149"/>
      <c r="D216" s="149"/>
      <c r="E216" s="149"/>
      <c r="F216" s="149"/>
      <c r="G216" s="149"/>
      <c r="H216" s="149"/>
      <c r="I216" s="149"/>
      <c r="J216" s="149"/>
      <c r="K216" s="149"/>
      <c r="L216" s="149"/>
      <c r="M216" s="149"/>
      <c r="N216" s="149"/>
      <c r="O216" s="149"/>
      <c r="P216" s="149"/>
      <c r="Q216" s="149"/>
      <c r="R216" s="149"/>
      <c r="S216" s="149"/>
      <c r="W216" s="149"/>
      <c r="X216" s="149"/>
      <c r="Y216" s="149"/>
      <c r="Z216" s="149"/>
    </row>
    <row r="217" spans="1:26">
      <c r="A217" s="149"/>
      <c r="B217" s="149"/>
      <c r="C217" s="149"/>
      <c r="D217" s="149"/>
      <c r="E217" s="149"/>
      <c r="F217" s="149"/>
      <c r="G217" s="149"/>
      <c r="H217" s="149"/>
      <c r="I217" s="149"/>
      <c r="J217" s="149"/>
      <c r="K217" s="149"/>
      <c r="L217" s="149"/>
      <c r="M217" s="149"/>
      <c r="N217" s="149"/>
      <c r="O217" s="149"/>
      <c r="P217" s="149"/>
      <c r="Q217" s="149"/>
      <c r="R217" s="149"/>
      <c r="S217" s="149"/>
      <c r="W217" s="149"/>
      <c r="X217" s="149"/>
      <c r="Y217" s="149"/>
      <c r="Z217" s="149"/>
    </row>
    <row r="218" spans="1:26">
      <c r="A218" s="149"/>
      <c r="B218" s="149"/>
      <c r="C218" s="149"/>
      <c r="D218" s="149"/>
      <c r="E218" s="149"/>
      <c r="F218" s="149"/>
      <c r="G218" s="149"/>
      <c r="H218" s="149"/>
      <c r="I218" s="149"/>
      <c r="J218" s="149"/>
      <c r="K218" s="149"/>
      <c r="L218" s="149"/>
      <c r="M218" s="149"/>
      <c r="N218" s="149"/>
      <c r="O218" s="149"/>
      <c r="P218" s="149"/>
      <c r="Q218" s="149"/>
      <c r="R218" s="149"/>
      <c r="S218" s="149"/>
      <c r="W218" s="149"/>
      <c r="X218" s="149"/>
      <c r="Y218" s="149"/>
      <c r="Z218" s="149"/>
    </row>
    <row r="219" spans="1:26">
      <c r="A219" s="149"/>
      <c r="B219" s="149"/>
      <c r="C219" s="149"/>
      <c r="D219" s="149"/>
      <c r="E219" s="149"/>
      <c r="F219" s="149"/>
      <c r="G219" s="149"/>
      <c r="H219" s="149"/>
      <c r="I219" s="149"/>
      <c r="J219" s="149"/>
      <c r="K219" s="149"/>
      <c r="L219" s="149"/>
      <c r="M219" s="149"/>
      <c r="N219" s="149"/>
      <c r="O219" s="149"/>
      <c r="P219" s="149"/>
      <c r="Q219" s="149"/>
      <c r="R219" s="149"/>
      <c r="S219" s="149"/>
      <c r="W219" s="149"/>
      <c r="X219" s="149"/>
      <c r="Y219" s="149"/>
      <c r="Z219" s="149"/>
    </row>
    <row r="220" spans="1:26">
      <c r="A220" s="149"/>
      <c r="B220" s="149"/>
      <c r="C220" s="149"/>
      <c r="D220" s="149"/>
      <c r="E220" s="149"/>
      <c r="F220" s="149"/>
      <c r="G220" s="149"/>
      <c r="H220" s="149"/>
      <c r="I220" s="149"/>
      <c r="J220" s="149"/>
      <c r="K220" s="149"/>
      <c r="L220" s="149"/>
      <c r="M220" s="149"/>
      <c r="N220" s="149"/>
      <c r="O220" s="149"/>
      <c r="P220" s="149"/>
      <c r="Q220" s="149"/>
      <c r="R220" s="149"/>
      <c r="S220" s="149"/>
      <c r="W220" s="149"/>
      <c r="X220" s="149"/>
      <c r="Y220" s="149"/>
      <c r="Z220" s="149"/>
    </row>
    <row r="221" spans="1:26">
      <c r="A221" s="149"/>
      <c r="B221" s="149"/>
      <c r="C221" s="149"/>
      <c r="D221" s="149"/>
      <c r="E221" s="149"/>
      <c r="F221" s="149"/>
      <c r="G221" s="149"/>
      <c r="H221" s="149"/>
      <c r="I221" s="149"/>
      <c r="J221" s="149"/>
      <c r="K221" s="149"/>
      <c r="L221" s="149"/>
      <c r="M221" s="149"/>
      <c r="N221" s="149"/>
      <c r="O221" s="149"/>
      <c r="P221" s="149"/>
      <c r="Q221" s="149"/>
      <c r="R221" s="149"/>
      <c r="S221" s="149"/>
      <c r="W221" s="149"/>
      <c r="X221" s="149"/>
      <c r="Y221" s="149"/>
      <c r="Z221" s="149"/>
    </row>
    <row r="222" spans="1:26">
      <c r="A222" s="149"/>
      <c r="B222" s="149"/>
      <c r="C222" s="149"/>
      <c r="D222" s="149"/>
      <c r="E222" s="149"/>
      <c r="F222" s="149"/>
      <c r="G222" s="149"/>
      <c r="H222" s="149"/>
      <c r="I222" s="149"/>
      <c r="J222" s="149"/>
      <c r="K222" s="149"/>
      <c r="L222" s="149"/>
      <c r="M222" s="149"/>
      <c r="N222" s="149"/>
      <c r="O222" s="149"/>
      <c r="P222" s="149"/>
      <c r="Q222" s="149"/>
      <c r="R222" s="149"/>
      <c r="S222" s="149"/>
      <c r="W222" s="149"/>
      <c r="X222" s="149"/>
      <c r="Y222" s="149"/>
      <c r="Z222" s="149"/>
    </row>
    <row r="223" spans="1:26">
      <c r="A223" s="149"/>
      <c r="B223" s="149"/>
      <c r="C223" s="149"/>
      <c r="D223" s="149"/>
      <c r="E223" s="149"/>
      <c r="F223" s="149"/>
      <c r="G223" s="149"/>
      <c r="H223" s="149"/>
      <c r="I223" s="149"/>
      <c r="J223" s="149"/>
      <c r="K223" s="149"/>
      <c r="L223" s="149"/>
      <c r="M223" s="149"/>
      <c r="N223" s="149"/>
      <c r="O223" s="149"/>
      <c r="P223" s="149"/>
      <c r="Q223" s="149"/>
      <c r="R223" s="149"/>
      <c r="S223" s="149"/>
      <c r="W223" s="149"/>
      <c r="X223" s="149"/>
      <c r="Y223" s="149"/>
      <c r="Z223" s="149"/>
    </row>
    <row r="224" spans="1:26">
      <c r="A224" s="149"/>
      <c r="B224" s="149"/>
      <c r="C224" s="149"/>
      <c r="D224" s="149"/>
      <c r="E224" s="149"/>
      <c r="F224" s="149"/>
      <c r="G224" s="149"/>
      <c r="H224" s="149"/>
      <c r="I224" s="149"/>
      <c r="J224" s="149"/>
      <c r="K224" s="149"/>
      <c r="L224" s="149"/>
      <c r="M224" s="149"/>
      <c r="N224" s="149"/>
      <c r="O224" s="149"/>
      <c r="P224" s="149"/>
      <c r="Q224" s="149"/>
      <c r="R224" s="149"/>
      <c r="S224" s="149"/>
      <c r="W224" s="149"/>
      <c r="X224" s="149"/>
      <c r="Y224" s="149"/>
      <c r="Z224" s="149"/>
    </row>
    <row r="225" spans="1:26">
      <c r="A225" s="149"/>
      <c r="B225" s="149"/>
      <c r="C225" s="149"/>
      <c r="D225" s="149"/>
      <c r="E225" s="149"/>
      <c r="F225" s="149"/>
      <c r="G225" s="149"/>
      <c r="H225" s="149"/>
      <c r="I225" s="149"/>
      <c r="J225" s="149"/>
      <c r="K225" s="149"/>
      <c r="L225" s="149"/>
      <c r="M225" s="149"/>
      <c r="N225" s="149"/>
      <c r="O225" s="149"/>
      <c r="P225" s="149"/>
      <c r="Q225" s="149"/>
      <c r="R225" s="149"/>
      <c r="S225" s="149"/>
      <c r="W225" s="149"/>
      <c r="X225" s="149"/>
      <c r="Y225" s="149"/>
      <c r="Z225" s="149"/>
    </row>
    <row r="226" spans="1:26">
      <c r="A226" s="149"/>
      <c r="B226" s="149"/>
      <c r="C226" s="149"/>
      <c r="D226" s="149"/>
      <c r="E226" s="149"/>
      <c r="F226" s="149"/>
      <c r="G226" s="149"/>
      <c r="H226" s="149"/>
      <c r="I226" s="149"/>
      <c r="J226" s="149"/>
      <c r="K226" s="149"/>
      <c r="L226" s="149"/>
      <c r="M226" s="149"/>
      <c r="N226" s="149"/>
      <c r="O226" s="149"/>
      <c r="P226" s="149"/>
      <c r="Q226" s="149"/>
      <c r="R226" s="149"/>
      <c r="S226" s="149"/>
      <c r="W226" s="149"/>
      <c r="X226" s="149"/>
      <c r="Y226" s="149"/>
      <c r="Z226" s="149"/>
    </row>
    <row r="227" spans="1:26">
      <c r="A227" s="149"/>
      <c r="B227" s="149"/>
      <c r="C227" s="149"/>
      <c r="D227" s="149"/>
      <c r="E227" s="149"/>
      <c r="F227" s="149"/>
      <c r="G227" s="149"/>
      <c r="H227" s="149"/>
      <c r="I227" s="149"/>
      <c r="J227" s="149"/>
      <c r="K227" s="149"/>
      <c r="L227" s="149"/>
      <c r="M227" s="149"/>
      <c r="N227" s="149"/>
      <c r="O227" s="149"/>
      <c r="P227" s="149"/>
      <c r="Q227" s="149"/>
      <c r="R227" s="149"/>
      <c r="S227" s="149"/>
      <c r="W227" s="149"/>
      <c r="X227" s="149"/>
      <c r="Y227" s="149"/>
      <c r="Z227" s="149"/>
    </row>
    <row r="228" spans="1:26">
      <c r="A228" s="149"/>
      <c r="B228" s="149"/>
      <c r="C228" s="149"/>
      <c r="D228" s="149"/>
      <c r="E228" s="149"/>
      <c r="F228" s="149"/>
      <c r="G228" s="149"/>
      <c r="H228" s="149"/>
      <c r="I228" s="149"/>
      <c r="J228" s="149"/>
      <c r="K228" s="149"/>
      <c r="L228" s="149"/>
      <c r="M228" s="149"/>
      <c r="N228" s="149"/>
      <c r="O228" s="149"/>
      <c r="P228" s="149"/>
      <c r="Q228" s="149"/>
      <c r="R228" s="149"/>
      <c r="S228" s="149"/>
      <c r="W228" s="149"/>
      <c r="X228" s="149"/>
      <c r="Y228" s="149"/>
      <c r="Z228" s="149"/>
    </row>
    <row r="229" spans="1:26">
      <c r="A229" s="149"/>
      <c r="B229" s="149"/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W229" s="149"/>
      <c r="X229" s="149"/>
      <c r="Y229" s="149"/>
      <c r="Z229" s="149"/>
    </row>
    <row r="230" spans="1:26">
      <c r="A230" s="149"/>
      <c r="B230" s="149"/>
      <c r="C230" s="149"/>
      <c r="D230" s="149"/>
      <c r="E230" s="149"/>
      <c r="F230" s="149"/>
      <c r="G230" s="149"/>
      <c r="H230" s="149"/>
      <c r="I230" s="149"/>
      <c r="J230" s="149"/>
      <c r="K230" s="149"/>
      <c r="L230" s="149"/>
      <c r="M230" s="149"/>
      <c r="N230" s="149"/>
      <c r="O230" s="149"/>
      <c r="P230" s="149"/>
      <c r="Q230" s="149"/>
      <c r="R230" s="149"/>
      <c r="S230" s="149"/>
      <c r="W230" s="149"/>
      <c r="X230" s="149"/>
      <c r="Y230" s="149"/>
      <c r="Z230" s="149"/>
    </row>
    <row r="231" spans="1:26">
      <c r="A231" s="149"/>
      <c r="B231" s="149"/>
      <c r="C231" s="149"/>
      <c r="D231" s="149"/>
      <c r="E231" s="149"/>
      <c r="F231" s="149"/>
      <c r="G231" s="149"/>
      <c r="H231" s="149"/>
      <c r="I231" s="149"/>
      <c r="J231" s="149"/>
      <c r="K231" s="149"/>
      <c r="L231" s="149"/>
      <c r="M231" s="149"/>
      <c r="N231" s="149"/>
      <c r="O231" s="149"/>
      <c r="P231" s="149"/>
      <c r="Q231" s="149"/>
      <c r="R231" s="149"/>
      <c r="S231" s="149"/>
      <c r="W231" s="149"/>
      <c r="X231" s="149"/>
      <c r="Y231" s="149"/>
      <c r="Z231" s="149"/>
    </row>
    <row r="232" spans="1:26">
      <c r="A232" s="149"/>
      <c r="B232" s="149"/>
      <c r="C232" s="149"/>
      <c r="D232" s="149"/>
      <c r="E232" s="149"/>
      <c r="F232" s="149"/>
      <c r="G232" s="149"/>
      <c r="H232" s="149"/>
      <c r="I232" s="149"/>
      <c r="J232" s="149"/>
      <c r="K232" s="149"/>
      <c r="L232" s="149"/>
      <c r="M232" s="149"/>
      <c r="N232" s="149"/>
      <c r="O232" s="149"/>
      <c r="P232" s="149"/>
      <c r="Q232" s="149"/>
      <c r="R232" s="149"/>
      <c r="S232" s="149"/>
      <c r="W232" s="149"/>
      <c r="X232" s="149"/>
      <c r="Y232" s="149"/>
      <c r="Z232" s="149"/>
    </row>
    <row r="233" spans="1:26">
      <c r="A233" s="149"/>
      <c r="B233" s="149"/>
      <c r="C233" s="149"/>
      <c r="D233" s="149"/>
      <c r="E233" s="149"/>
      <c r="F233" s="149"/>
      <c r="G233" s="149"/>
      <c r="H233" s="149"/>
      <c r="I233" s="149"/>
      <c r="J233" s="149"/>
      <c r="K233" s="149"/>
      <c r="L233" s="149"/>
      <c r="M233" s="149"/>
      <c r="N233" s="149"/>
      <c r="O233" s="149"/>
      <c r="P233" s="149"/>
      <c r="Q233" s="149"/>
      <c r="R233" s="149"/>
      <c r="S233" s="149"/>
      <c r="W233" s="149"/>
      <c r="X233" s="149"/>
      <c r="Y233" s="149"/>
      <c r="Z233" s="149"/>
    </row>
    <row r="234" spans="1:26">
      <c r="A234" s="149"/>
      <c r="B234" s="149"/>
      <c r="C234" s="149"/>
      <c r="D234" s="149"/>
      <c r="E234" s="149"/>
      <c r="F234" s="149"/>
      <c r="G234" s="149"/>
      <c r="H234" s="149"/>
      <c r="I234" s="149"/>
      <c r="J234" s="149"/>
      <c r="K234" s="149"/>
      <c r="L234" s="149"/>
      <c r="M234" s="149"/>
      <c r="N234" s="149"/>
      <c r="O234" s="149"/>
      <c r="P234" s="149"/>
      <c r="Q234" s="149"/>
      <c r="R234" s="149"/>
      <c r="S234" s="149"/>
      <c r="W234" s="149"/>
      <c r="X234" s="149"/>
      <c r="Y234" s="149"/>
      <c r="Z234" s="149"/>
    </row>
    <row r="235" spans="1:26">
      <c r="A235" s="149"/>
      <c r="B235" s="149"/>
      <c r="C235" s="149"/>
      <c r="D235" s="149"/>
      <c r="E235" s="149"/>
      <c r="F235" s="149"/>
      <c r="G235" s="149"/>
      <c r="H235" s="149"/>
      <c r="I235" s="149"/>
      <c r="J235" s="149"/>
      <c r="K235" s="149"/>
      <c r="L235" s="149"/>
      <c r="M235" s="149"/>
      <c r="N235" s="149"/>
      <c r="O235" s="149"/>
      <c r="P235" s="149"/>
      <c r="Q235" s="149"/>
      <c r="R235" s="149"/>
      <c r="S235" s="149"/>
      <c r="W235" s="149"/>
      <c r="X235" s="149"/>
      <c r="Y235" s="149"/>
      <c r="Z235" s="149"/>
    </row>
    <row r="236" spans="1:26">
      <c r="A236" s="149"/>
      <c r="B236" s="149"/>
      <c r="C236" s="149"/>
      <c r="D236" s="149"/>
      <c r="E236" s="149"/>
      <c r="F236" s="149"/>
      <c r="G236" s="149"/>
      <c r="H236" s="149"/>
      <c r="I236" s="149"/>
      <c r="J236" s="149"/>
      <c r="K236" s="149"/>
      <c r="L236" s="149"/>
      <c r="M236" s="149"/>
      <c r="N236" s="149"/>
      <c r="O236" s="149"/>
      <c r="P236" s="149"/>
      <c r="Q236" s="149"/>
      <c r="R236" s="149"/>
      <c r="S236" s="149"/>
      <c r="W236" s="149"/>
      <c r="X236" s="149"/>
      <c r="Y236" s="149"/>
      <c r="Z236" s="149"/>
    </row>
    <row r="237" spans="1:26">
      <c r="A237" s="149"/>
      <c r="B237" s="149"/>
      <c r="C237" s="149"/>
      <c r="D237" s="149"/>
      <c r="E237" s="149"/>
      <c r="F237" s="149"/>
      <c r="G237" s="149"/>
      <c r="H237" s="149"/>
      <c r="I237" s="149"/>
      <c r="J237" s="149"/>
      <c r="K237" s="149"/>
      <c r="L237" s="149"/>
      <c r="M237" s="149"/>
      <c r="N237" s="149"/>
      <c r="O237" s="149"/>
      <c r="P237" s="149"/>
      <c r="Q237" s="149"/>
      <c r="R237" s="149"/>
      <c r="S237" s="149"/>
      <c r="W237" s="149"/>
      <c r="X237" s="149"/>
      <c r="Y237" s="149"/>
      <c r="Z237" s="149"/>
    </row>
    <row r="238" spans="1:26">
      <c r="A238" s="149"/>
      <c r="B238" s="149"/>
      <c r="C238" s="149"/>
      <c r="D238" s="149"/>
      <c r="E238" s="149"/>
      <c r="F238" s="149"/>
      <c r="G238" s="149"/>
      <c r="H238" s="149"/>
      <c r="I238" s="149"/>
      <c r="J238" s="149"/>
      <c r="K238" s="149"/>
      <c r="L238" s="149"/>
      <c r="M238" s="149"/>
      <c r="N238" s="149"/>
      <c r="O238" s="149"/>
      <c r="P238" s="149"/>
      <c r="Q238" s="149"/>
      <c r="R238" s="149"/>
      <c r="S238" s="149"/>
      <c r="W238" s="149"/>
      <c r="X238" s="149"/>
      <c r="Y238" s="149"/>
      <c r="Z238" s="149"/>
    </row>
    <row r="239" spans="1:26">
      <c r="A239" s="149"/>
      <c r="B239" s="149"/>
      <c r="C239" s="149"/>
      <c r="D239" s="149"/>
      <c r="E239" s="149"/>
      <c r="F239" s="149"/>
      <c r="G239" s="149"/>
      <c r="H239" s="149"/>
      <c r="I239" s="149"/>
      <c r="J239" s="149"/>
      <c r="K239" s="149"/>
      <c r="L239" s="149"/>
      <c r="M239" s="149"/>
      <c r="N239" s="149"/>
      <c r="O239" s="149"/>
      <c r="P239" s="149"/>
      <c r="Q239" s="149"/>
      <c r="R239" s="149"/>
      <c r="S239" s="149"/>
      <c r="W239" s="149"/>
      <c r="X239" s="149"/>
      <c r="Y239" s="149"/>
      <c r="Z239" s="149"/>
    </row>
    <row r="240" spans="1:26">
      <c r="A240" s="149"/>
      <c r="B240" s="149"/>
      <c r="C240" s="149"/>
      <c r="D240" s="149"/>
      <c r="E240" s="149"/>
      <c r="F240" s="149"/>
      <c r="G240" s="149"/>
      <c r="H240" s="149"/>
      <c r="I240" s="149"/>
      <c r="J240" s="149"/>
      <c r="K240" s="149"/>
      <c r="L240" s="149"/>
      <c r="M240" s="149"/>
      <c r="N240" s="149"/>
      <c r="O240" s="149"/>
      <c r="P240" s="149"/>
      <c r="Q240" s="149"/>
      <c r="R240" s="149"/>
      <c r="S240" s="149"/>
      <c r="W240" s="149"/>
      <c r="X240" s="149"/>
      <c r="Y240" s="149"/>
      <c r="Z240" s="149"/>
    </row>
    <row r="241" spans="1:26">
      <c r="A241" s="149"/>
      <c r="B241" s="149"/>
      <c r="C241" s="149"/>
      <c r="D241" s="149"/>
      <c r="E241" s="149"/>
      <c r="F241" s="149"/>
      <c r="G241" s="149"/>
      <c r="H241" s="149"/>
      <c r="I241" s="149"/>
      <c r="J241" s="149"/>
      <c r="K241" s="149"/>
      <c r="L241" s="149"/>
      <c r="M241" s="149"/>
      <c r="N241" s="149"/>
      <c r="O241" s="149"/>
      <c r="P241" s="149"/>
      <c r="Q241" s="149"/>
      <c r="R241" s="149"/>
      <c r="S241" s="149"/>
      <c r="W241" s="149"/>
      <c r="X241" s="149"/>
      <c r="Y241" s="149"/>
      <c r="Z241" s="149"/>
    </row>
    <row r="242" spans="1:26">
      <c r="A242" s="149"/>
      <c r="B242" s="149"/>
      <c r="C242" s="149"/>
      <c r="D242" s="149"/>
      <c r="E242" s="149"/>
      <c r="F242" s="149"/>
      <c r="G242" s="149"/>
      <c r="H242" s="149"/>
      <c r="I242" s="149"/>
      <c r="J242" s="149"/>
      <c r="K242" s="149"/>
      <c r="L242" s="149"/>
      <c r="M242" s="149"/>
      <c r="N242" s="149"/>
      <c r="O242" s="149"/>
      <c r="P242" s="149"/>
      <c r="Q242" s="149"/>
      <c r="R242" s="149"/>
      <c r="S242" s="149"/>
      <c r="W242" s="149"/>
      <c r="X242" s="149"/>
      <c r="Y242" s="149"/>
      <c r="Z242" s="149"/>
    </row>
    <row r="243" spans="1:26">
      <c r="A243" s="149"/>
      <c r="B243" s="149"/>
      <c r="C243" s="149"/>
      <c r="D243" s="149"/>
      <c r="E243" s="149"/>
      <c r="F243" s="149"/>
      <c r="G243" s="149"/>
      <c r="H243" s="149"/>
      <c r="I243" s="149"/>
      <c r="J243" s="149"/>
      <c r="K243" s="149"/>
      <c r="L243" s="149"/>
      <c r="M243" s="149"/>
      <c r="N243" s="149"/>
      <c r="O243" s="149"/>
      <c r="P243" s="149"/>
      <c r="Q243" s="149"/>
      <c r="R243" s="149"/>
      <c r="S243" s="149"/>
      <c r="W243" s="149"/>
      <c r="X243" s="149"/>
      <c r="Y243" s="149"/>
      <c r="Z243" s="149"/>
    </row>
    <row r="244" spans="1:26">
      <c r="A244" s="149"/>
      <c r="B244" s="149"/>
      <c r="C244" s="149"/>
      <c r="D244" s="149"/>
      <c r="E244" s="149"/>
      <c r="F244" s="149"/>
      <c r="G244" s="149"/>
      <c r="H244" s="149"/>
      <c r="I244" s="149"/>
      <c r="J244" s="149"/>
      <c r="K244" s="149"/>
      <c r="L244" s="149"/>
      <c r="M244" s="149"/>
      <c r="N244" s="149"/>
      <c r="O244" s="149"/>
      <c r="P244" s="149"/>
      <c r="Q244" s="149"/>
      <c r="R244" s="149"/>
      <c r="S244" s="149"/>
      <c r="W244" s="149"/>
      <c r="X244" s="149"/>
      <c r="Y244" s="149"/>
      <c r="Z244" s="149"/>
    </row>
    <row r="245" spans="1:26">
      <c r="A245" s="149"/>
      <c r="B245" s="149"/>
      <c r="C245" s="149"/>
      <c r="D245" s="149"/>
      <c r="E245" s="149"/>
      <c r="F245" s="149"/>
      <c r="G245" s="149"/>
      <c r="H245" s="149"/>
      <c r="I245" s="149"/>
      <c r="J245" s="149"/>
      <c r="K245" s="149"/>
      <c r="L245" s="149"/>
      <c r="M245" s="149"/>
      <c r="N245" s="149"/>
      <c r="O245" s="149"/>
      <c r="P245" s="149"/>
      <c r="Q245" s="149"/>
      <c r="R245" s="149"/>
      <c r="S245" s="149"/>
      <c r="W245" s="149"/>
      <c r="X245" s="149"/>
      <c r="Y245" s="149"/>
      <c r="Z245" s="149"/>
    </row>
    <row r="246" spans="1:26">
      <c r="A246" s="149"/>
      <c r="B246" s="149"/>
      <c r="C246" s="149"/>
      <c r="D246" s="149"/>
      <c r="E246" s="149"/>
      <c r="F246" s="149"/>
      <c r="G246" s="149"/>
      <c r="H246" s="149"/>
      <c r="I246" s="149"/>
      <c r="J246" s="149"/>
      <c r="K246" s="149"/>
      <c r="L246" s="149"/>
      <c r="M246" s="149"/>
      <c r="N246" s="149"/>
      <c r="O246" s="149"/>
      <c r="P246" s="149"/>
      <c r="Q246" s="149"/>
      <c r="R246" s="149"/>
      <c r="S246" s="149"/>
      <c r="W246" s="149"/>
      <c r="X246" s="149"/>
      <c r="Y246" s="149"/>
      <c r="Z246" s="149"/>
    </row>
    <row r="247" spans="1:26">
      <c r="A247" s="149"/>
      <c r="B247" s="149"/>
      <c r="C247" s="149"/>
      <c r="D247" s="149"/>
      <c r="E247" s="149"/>
      <c r="F247" s="149"/>
      <c r="G247" s="149"/>
      <c r="H247" s="149"/>
      <c r="I247" s="149"/>
      <c r="J247" s="149"/>
      <c r="K247" s="149"/>
      <c r="L247" s="149"/>
      <c r="M247" s="149"/>
      <c r="N247" s="149"/>
      <c r="O247" s="149"/>
      <c r="P247" s="149"/>
      <c r="Q247" s="149"/>
      <c r="R247" s="149"/>
      <c r="S247" s="149"/>
      <c r="W247" s="149"/>
      <c r="X247" s="149"/>
      <c r="Y247" s="149"/>
      <c r="Z247" s="149"/>
    </row>
    <row r="248" spans="1:26">
      <c r="A248" s="149"/>
      <c r="B248" s="149"/>
      <c r="C248" s="149"/>
      <c r="D248" s="149"/>
      <c r="E248" s="149"/>
      <c r="F248" s="149"/>
      <c r="G248" s="149"/>
      <c r="H248" s="149"/>
      <c r="I248" s="149"/>
      <c r="J248" s="149"/>
      <c r="K248" s="149"/>
      <c r="L248" s="149"/>
      <c r="M248" s="149"/>
      <c r="N248" s="149"/>
      <c r="O248" s="149"/>
      <c r="P248" s="149"/>
      <c r="Q248" s="149"/>
      <c r="R248" s="149"/>
      <c r="S248" s="149"/>
      <c r="W248" s="149"/>
      <c r="X248" s="149"/>
      <c r="Y248" s="149"/>
      <c r="Z248" s="149"/>
    </row>
    <row r="249" spans="1:26">
      <c r="A249" s="149"/>
      <c r="B249" s="149"/>
      <c r="C249" s="149"/>
      <c r="D249" s="149"/>
      <c r="E249" s="149"/>
      <c r="F249" s="149"/>
      <c r="G249" s="149"/>
      <c r="H249" s="149"/>
      <c r="I249" s="149"/>
      <c r="J249" s="149"/>
      <c r="K249" s="149"/>
      <c r="L249" s="149"/>
      <c r="M249" s="149"/>
      <c r="N249" s="149"/>
      <c r="O249" s="149"/>
      <c r="P249" s="149"/>
      <c r="Q249" s="149"/>
      <c r="R249" s="149"/>
      <c r="S249" s="149"/>
      <c r="W249" s="149"/>
      <c r="X249" s="149"/>
      <c r="Y249" s="149"/>
      <c r="Z249" s="149"/>
    </row>
    <row r="250" spans="1:26">
      <c r="A250" s="149"/>
      <c r="B250" s="149"/>
      <c r="C250" s="149"/>
      <c r="D250" s="149"/>
      <c r="E250" s="149"/>
      <c r="F250" s="149"/>
      <c r="G250" s="149"/>
      <c r="H250" s="149"/>
      <c r="I250" s="149"/>
      <c r="J250" s="149"/>
      <c r="K250" s="149"/>
      <c r="L250" s="149"/>
      <c r="M250" s="149"/>
      <c r="N250" s="149"/>
      <c r="O250" s="149"/>
      <c r="P250" s="149"/>
      <c r="Q250" s="149"/>
      <c r="R250" s="149"/>
      <c r="S250" s="149"/>
      <c r="W250" s="149"/>
      <c r="X250" s="149"/>
      <c r="Y250" s="149"/>
      <c r="Z250" s="149"/>
    </row>
    <row r="251" spans="1:26">
      <c r="A251" s="149"/>
      <c r="B251" s="149"/>
      <c r="C251" s="149"/>
      <c r="D251" s="149"/>
      <c r="E251" s="149"/>
      <c r="F251" s="149"/>
      <c r="G251" s="149"/>
      <c r="H251" s="149"/>
      <c r="I251" s="149"/>
      <c r="J251" s="149"/>
      <c r="K251" s="149"/>
      <c r="L251" s="149"/>
      <c r="M251" s="149"/>
      <c r="N251" s="149"/>
      <c r="O251" s="149"/>
      <c r="P251" s="149"/>
      <c r="Q251" s="149"/>
      <c r="R251" s="149"/>
      <c r="S251" s="149"/>
      <c r="W251" s="149"/>
      <c r="X251" s="149"/>
      <c r="Y251" s="149"/>
      <c r="Z251" s="149"/>
    </row>
    <row r="252" spans="1:26">
      <c r="A252" s="149"/>
      <c r="B252" s="149"/>
      <c r="C252" s="149"/>
      <c r="D252" s="149"/>
      <c r="E252" s="149"/>
      <c r="F252" s="149"/>
      <c r="G252" s="149"/>
      <c r="H252" s="149"/>
      <c r="I252" s="149"/>
      <c r="J252" s="149"/>
      <c r="K252" s="149"/>
      <c r="L252" s="149"/>
      <c r="M252" s="149"/>
      <c r="N252" s="149"/>
      <c r="O252" s="149"/>
      <c r="P252" s="149"/>
      <c r="Q252" s="149"/>
      <c r="R252" s="149"/>
      <c r="S252" s="149"/>
      <c r="W252" s="149"/>
      <c r="X252" s="149"/>
      <c r="Y252" s="149"/>
      <c r="Z252" s="149"/>
    </row>
    <row r="253" spans="1:26">
      <c r="A253" s="149"/>
      <c r="B253" s="149"/>
      <c r="C253" s="149"/>
      <c r="D253" s="149"/>
      <c r="E253" s="149"/>
      <c r="F253" s="149"/>
      <c r="G253" s="149"/>
      <c r="H253" s="149"/>
      <c r="I253" s="149"/>
      <c r="J253" s="149"/>
      <c r="K253" s="149"/>
      <c r="L253" s="149"/>
      <c r="M253" s="149"/>
      <c r="N253" s="149"/>
      <c r="O253" s="149"/>
      <c r="P253" s="149"/>
      <c r="Q253" s="149"/>
      <c r="R253" s="149"/>
      <c r="S253" s="149"/>
      <c r="W253" s="149"/>
      <c r="X253" s="149"/>
      <c r="Y253" s="149"/>
      <c r="Z253" s="149"/>
    </row>
    <row r="254" spans="1:26">
      <c r="A254" s="149"/>
      <c r="B254" s="149"/>
      <c r="C254" s="149"/>
      <c r="D254" s="149"/>
      <c r="E254" s="149"/>
      <c r="F254" s="149"/>
      <c r="G254" s="149"/>
      <c r="H254" s="149"/>
      <c r="I254" s="149"/>
      <c r="J254" s="149"/>
      <c r="K254" s="149"/>
      <c r="L254" s="149"/>
      <c r="M254" s="149"/>
      <c r="N254" s="149"/>
      <c r="O254" s="149"/>
      <c r="P254" s="149"/>
      <c r="Q254" s="149"/>
      <c r="R254" s="149"/>
      <c r="S254" s="149"/>
      <c r="W254" s="149"/>
      <c r="X254" s="149"/>
      <c r="Y254" s="149"/>
      <c r="Z254" s="149"/>
    </row>
    <row r="255" spans="1:26">
      <c r="A255" s="149"/>
      <c r="B255" s="149"/>
      <c r="C255" s="149"/>
      <c r="D255" s="149"/>
      <c r="E255" s="149"/>
      <c r="F255" s="149"/>
      <c r="G255" s="149"/>
      <c r="H255" s="149"/>
      <c r="I255" s="149"/>
      <c r="J255" s="149"/>
      <c r="K255" s="149"/>
      <c r="L255" s="149"/>
      <c r="M255" s="149"/>
      <c r="N255" s="149"/>
      <c r="O255" s="149"/>
      <c r="P255" s="149"/>
      <c r="Q255" s="149"/>
      <c r="R255" s="149"/>
      <c r="S255" s="149"/>
      <c r="W255" s="149"/>
      <c r="X255" s="149"/>
      <c r="Y255" s="149"/>
      <c r="Z255" s="149"/>
    </row>
    <row r="256" spans="1:26">
      <c r="A256" s="149"/>
      <c r="B256" s="149"/>
      <c r="C256" s="149"/>
      <c r="D256" s="149"/>
      <c r="E256" s="149"/>
      <c r="F256" s="149"/>
      <c r="G256" s="149"/>
      <c r="H256" s="149"/>
      <c r="I256" s="149"/>
      <c r="J256" s="149"/>
      <c r="K256" s="149"/>
      <c r="L256" s="149"/>
      <c r="M256" s="149"/>
      <c r="N256" s="149"/>
      <c r="O256" s="149"/>
      <c r="P256" s="149"/>
      <c r="Q256" s="149"/>
      <c r="R256" s="149"/>
      <c r="S256" s="149"/>
      <c r="W256" s="149"/>
      <c r="X256" s="149"/>
      <c r="Y256" s="149"/>
      <c r="Z256" s="149"/>
    </row>
    <row r="257" spans="1:26">
      <c r="A257" s="149"/>
      <c r="B257" s="149"/>
      <c r="C257" s="149"/>
      <c r="D257" s="149"/>
      <c r="E257" s="149"/>
      <c r="F257" s="149"/>
      <c r="G257" s="149"/>
      <c r="H257" s="149"/>
      <c r="I257" s="149"/>
      <c r="J257" s="149"/>
      <c r="K257" s="149"/>
      <c r="L257" s="149"/>
      <c r="M257" s="149"/>
      <c r="N257" s="149"/>
      <c r="O257" s="149"/>
      <c r="P257" s="149"/>
      <c r="Q257" s="149"/>
      <c r="R257" s="149"/>
      <c r="S257" s="149"/>
      <c r="W257" s="149"/>
      <c r="X257" s="149"/>
      <c r="Y257" s="149"/>
      <c r="Z257" s="149"/>
    </row>
    <row r="258" spans="1:26">
      <c r="A258" s="149"/>
      <c r="B258" s="149"/>
      <c r="C258" s="149"/>
      <c r="D258" s="149"/>
      <c r="E258" s="149"/>
      <c r="F258" s="149"/>
      <c r="G258" s="149"/>
      <c r="H258" s="149"/>
      <c r="I258" s="149"/>
      <c r="J258" s="149"/>
      <c r="K258" s="149"/>
      <c r="L258" s="149"/>
      <c r="M258" s="149"/>
      <c r="N258" s="149"/>
      <c r="O258" s="149"/>
      <c r="P258" s="149"/>
      <c r="Q258" s="149"/>
      <c r="R258" s="149"/>
      <c r="S258" s="149"/>
      <c r="W258" s="149"/>
      <c r="X258" s="149"/>
      <c r="Y258" s="149"/>
      <c r="Z258" s="149"/>
    </row>
    <row r="259" spans="1:26">
      <c r="A259" s="149"/>
      <c r="B259" s="149"/>
      <c r="C259" s="149"/>
      <c r="D259" s="149"/>
      <c r="E259" s="149"/>
      <c r="F259" s="149"/>
      <c r="G259" s="149"/>
      <c r="H259" s="149"/>
      <c r="I259" s="149"/>
      <c r="J259" s="149"/>
      <c r="K259" s="149"/>
      <c r="L259" s="149"/>
      <c r="M259" s="149"/>
      <c r="N259" s="149"/>
      <c r="O259" s="149"/>
      <c r="P259" s="149"/>
      <c r="Q259" s="149"/>
      <c r="R259" s="149"/>
      <c r="S259" s="149"/>
      <c r="W259" s="149"/>
      <c r="X259" s="149"/>
      <c r="Y259" s="149"/>
      <c r="Z259" s="149"/>
    </row>
    <row r="260" spans="1:26">
      <c r="A260" s="149"/>
      <c r="B260" s="149"/>
      <c r="C260" s="149"/>
      <c r="D260" s="149"/>
      <c r="E260" s="149"/>
      <c r="F260" s="149"/>
      <c r="G260" s="149"/>
      <c r="H260" s="149"/>
      <c r="I260" s="149"/>
      <c r="J260" s="149"/>
      <c r="K260" s="149"/>
      <c r="L260" s="149"/>
      <c r="M260" s="149"/>
      <c r="N260" s="149"/>
      <c r="O260" s="149"/>
      <c r="P260" s="149"/>
      <c r="Q260" s="149"/>
      <c r="R260" s="149"/>
      <c r="S260" s="149"/>
      <c r="W260" s="149"/>
      <c r="X260" s="149"/>
      <c r="Y260" s="149"/>
      <c r="Z260" s="149"/>
    </row>
    <row r="261" spans="1:26">
      <c r="A261" s="149"/>
      <c r="B261" s="149"/>
      <c r="C261" s="149"/>
      <c r="D261" s="149"/>
      <c r="E261" s="149"/>
      <c r="F261" s="149"/>
      <c r="G261" s="149"/>
      <c r="H261" s="149"/>
      <c r="I261" s="149"/>
      <c r="J261" s="149"/>
      <c r="K261" s="149"/>
      <c r="L261" s="149"/>
      <c r="M261" s="149"/>
      <c r="N261" s="149"/>
      <c r="O261" s="149"/>
      <c r="P261" s="149"/>
      <c r="Q261" s="149"/>
      <c r="R261" s="149"/>
      <c r="S261" s="149"/>
      <c r="W261" s="149"/>
      <c r="X261" s="149"/>
      <c r="Y261" s="149"/>
      <c r="Z261" s="149"/>
    </row>
    <row r="262" spans="1:26">
      <c r="A262" s="149"/>
      <c r="B262" s="149"/>
      <c r="C262" s="149"/>
      <c r="D262" s="149"/>
      <c r="E262" s="149"/>
      <c r="F262" s="149"/>
      <c r="G262" s="149"/>
      <c r="H262" s="149"/>
      <c r="I262" s="149"/>
      <c r="J262" s="149"/>
      <c r="K262" s="149"/>
      <c r="L262" s="149"/>
      <c r="M262" s="149"/>
      <c r="N262" s="149"/>
      <c r="O262" s="149"/>
      <c r="P262" s="149"/>
      <c r="Q262" s="149"/>
      <c r="R262" s="149"/>
      <c r="S262" s="149"/>
      <c r="W262" s="149"/>
      <c r="X262" s="149"/>
      <c r="Y262" s="149"/>
      <c r="Z262" s="149"/>
    </row>
    <row r="263" spans="1:26">
      <c r="A263" s="149"/>
      <c r="B263" s="149"/>
      <c r="C263" s="149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W263" s="149"/>
      <c r="X263" s="149"/>
      <c r="Y263" s="149"/>
      <c r="Z263" s="149"/>
    </row>
    <row r="264" spans="1:26">
      <c r="A264" s="149"/>
      <c r="B264" s="149"/>
      <c r="C264" s="149"/>
      <c r="D264" s="149"/>
      <c r="E264" s="149"/>
      <c r="F264" s="149"/>
      <c r="G264" s="149"/>
      <c r="H264" s="149"/>
      <c r="I264" s="149"/>
      <c r="J264" s="149"/>
      <c r="K264" s="149"/>
      <c r="L264" s="149"/>
      <c r="M264" s="149"/>
      <c r="N264" s="149"/>
      <c r="O264" s="149"/>
      <c r="P264" s="149"/>
      <c r="Q264" s="149"/>
      <c r="R264" s="149"/>
      <c r="S264" s="149"/>
      <c r="W264" s="149"/>
      <c r="X264" s="149"/>
      <c r="Y264" s="149"/>
      <c r="Z264" s="149"/>
    </row>
    <row r="265" spans="1:26">
      <c r="A265" s="149"/>
      <c r="B265" s="149"/>
      <c r="C265" s="149"/>
      <c r="D265" s="149"/>
      <c r="E265" s="149"/>
      <c r="F265" s="149"/>
      <c r="G265" s="149"/>
      <c r="H265" s="149"/>
      <c r="I265" s="149"/>
      <c r="J265" s="149"/>
      <c r="K265" s="149"/>
      <c r="L265" s="149"/>
      <c r="M265" s="149"/>
      <c r="N265" s="149"/>
      <c r="O265" s="149"/>
      <c r="P265" s="149"/>
      <c r="Q265" s="149"/>
      <c r="R265" s="149"/>
      <c r="S265" s="149"/>
      <c r="W265" s="149"/>
      <c r="X265" s="149"/>
      <c r="Y265" s="149"/>
      <c r="Z265" s="149"/>
    </row>
    <row r="266" spans="1:26">
      <c r="A266" s="149"/>
      <c r="B266" s="149"/>
      <c r="C266" s="149"/>
      <c r="D266" s="149"/>
      <c r="E266" s="149"/>
      <c r="F266" s="149"/>
      <c r="G266" s="149"/>
      <c r="H266" s="149"/>
      <c r="I266" s="149"/>
      <c r="J266" s="149"/>
      <c r="K266" s="149"/>
      <c r="L266" s="149"/>
      <c r="M266" s="149"/>
      <c r="N266" s="149"/>
      <c r="O266" s="149"/>
      <c r="P266" s="149"/>
      <c r="Q266" s="149"/>
      <c r="R266" s="149"/>
      <c r="S266" s="149"/>
      <c r="W266" s="149"/>
      <c r="X266" s="149"/>
      <c r="Y266" s="149"/>
      <c r="Z266" s="149"/>
    </row>
    <row r="267" spans="1:26">
      <c r="A267" s="149"/>
      <c r="B267" s="149"/>
      <c r="C267" s="149"/>
      <c r="D267" s="149"/>
      <c r="E267" s="149"/>
      <c r="F267" s="149"/>
      <c r="G267" s="149"/>
      <c r="H267" s="149"/>
      <c r="I267" s="149"/>
      <c r="J267" s="149"/>
      <c r="K267" s="149"/>
      <c r="L267" s="149"/>
      <c r="M267" s="149"/>
      <c r="N267" s="149"/>
      <c r="O267" s="149"/>
      <c r="P267" s="149"/>
      <c r="Q267" s="149"/>
      <c r="R267" s="149"/>
      <c r="S267" s="149"/>
      <c r="W267" s="149"/>
      <c r="X267" s="149"/>
      <c r="Y267" s="149"/>
      <c r="Z267" s="149"/>
    </row>
    <row r="268" spans="1:26">
      <c r="A268" s="149"/>
      <c r="B268" s="149"/>
      <c r="C268" s="149"/>
      <c r="D268" s="149"/>
      <c r="E268" s="149"/>
      <c r="F268" s="149"/>
      <c r="G268" s="149"/>
      <c r="H268" s="149"/>
      <c r="I268" s="149"/>
      <c r="J268" s="149"/>
      <c r="K268" s="149"/>
      <c r="L268" s="149"/>
      <c r="M268" s="149"/>
      <c r="N268" s="149"/>
      <c r="O268" s="149"/>
      <c r="P268" s="149"/>
      <c r="Q268" s="149"/>
      <c r="R268" s="149"/>
      <c r="S268" s="149"/>
      <c r="W268" s="149"/>
      <c r="X268" s="149"/>
      <c r="Y268" s="149"/>
      <c r="Z268" s="149"/>
    </row>
    <row r="269" spans="1:26">
      <c r="A269" s="149"/>
      <c r="B269" s="149"/>
      <c r="C269" s="149"/>
      <c r="D269" s="149"/>
      <c r="E269" s="149"/>
      <c r="F269" s="149"/>
      <c r="G269" s="149"/>
      <c r="H269" s="149"/>
      <c r="I269" s="149"/>
      <c r="J269" s="149"/>
      <c r="K269" s="149"/>
      <c r="L269" s="149"/>
      <c r="M269" s="149"/>
      <c r="N269" s="149"/>
      <c r="O269" s="149"/>
      <c r="P269" s="149"/>
      <c r="Q269" s="149"/>
      <c r="R269" s="149"/>
      <c r="S269" s="149"/>
      <c r="W269" s="149"/>
      <c r="X269" s="149"/>
      <c r="Y269" s="149"/>
      <c r="Z269" s="149"/>
    </row>
    <row r="270" spans="1:26">
      <c r="A270" s="149"/>
      <c r="B270" s="149"/>
      <c r="C270" s="149"/>
      <c r="D270" s="149"/>
      <c r="E270" s="149"/>
      <c r="F270" s="149"/>
      <c r="G270" s="149"/>
      <c r="H270" s="149"/>
      <c r="I270" s="149"/>
      <c r="J270" s="149"/>
      <c r="K270" s="149"/>
      <c r="L270" s="149"/>
      <c r="M270" s="149"/>
      <c r="N270" s="149"/>
      <c r="O270" s="149"/>
      <c r="P270" s="149"/>
      <c r="Q270" s="149"/>
      <c r="R270" s="149"/>
      <c r="S270" s="149"/>
      <c r="W270" s="149"/>
      <c r="X270" s="149"/>
      <c r="Y270" s="149"/>
      <c r="Z270" s="149"/>
    </row>
    <row r="271" spans="1:26">
      <c r="A271" s="149"/>
      <c r="B271" s="149"/>
      <c r="C271" s="149"/>
      <c r="D271" s="149"/>
      <c r="E271" s="149"/>
      <c r="F271" s="149"/>
      <c r="G271" s="149"/>
      <c r="H271" s="149"/>
      <c r="I271" s="149"/>
      <c r="J271" s="149"/>
      <c r="K271" s="149"/>
      <c r="L271" s="149"/>
      <c r="M271" s="149"/>
      <c r="N271" s="149"/>
      <c r="O271" s="149"/>
      <c r="P271" s="149"/>
      <c r="Q271" s="149"/>
      <c r="R271" s="149"/>
      <c r="S271" s="149"/>
      <c r="W271" s="149"/>
      <c r="X271" s="149"/>
      <c r="Y271" s="149"/>
      <c r="Z271" s="149"/>
    </row>
    <row r="272" spans="1:26">
      <c r="A272" s="149"/>
      <c r="B272" s="149"/>
      <c r="C272" s="149"/>
      <c r="D272" s="149"/>
      <c r="E272" s="149"/>
      <c r="F272" s="149"/>
      <c r="G272" s="149"/>
      <c r="H272" s="149"/>
      <c r="I272" s="149"/>
      <c r="J272" s="149"/>
      <c r="K272" s="149"/>
      <c r="L272" s="149"/>
      <c r="M272" s="149"/>
      <c r="N272" s="149"/>
      <c r="O272" s="149"/>
      <c r="P272" s="149"/>
      <c r="Q272" s="149"/>
      <c r="R272" s="149"/>
      <c r="S272" s="149"/>
      <c r="W272" s="149"/>
      <c r="X272" s="149"/>
      <c r="Y272" s="149"/>
      <c r="Z272" s="149"/>
    </row>
    <row r="273" spans="1:26">
      <c r="A273" s="149"/>
      <c r="B273" s="149"/>
      <c r="C273" s="149"/>
      <c r="D273" s="149"/>
      <c r="E273" s="149"/>
      <c r="F273" s="149"/>
      <c r="G273" s="149"/>
      <c r="H273" s="149"/>
      <c r="I273" s="149"/>
      <c r="J273" s="149"/>
      <c r="K273" s="149"/>
      <c r="L273" s="149"/>
      <c r="M273" s="149"/>
      <c r="N273" s="149"/>
      <c r="O273" s="149"/>
      <c r="P273" s="149"/>
      <c r="Q273" s="149"/>
      <c r="R273" s="149"/>
      <c r="S273" s="149"/>
      <c r="W273" s="149"/>
      <c r="X273" s="149"/>
      <c r="Y273" s="149"/>
      <c r="Z273" s="149"/>
    </row>
    <row r="274" spans="1:26">
      <c r="A274" s="149"/>
      <c r="B274" s="149"/>
      <c r="C274" s="149"/>
      <c r="D274" s="149"/>
      <c r="E274" s="149"/>
      <c r="F274" s="149"/>
      <c r="G274" s="149"/>
      <c r="H274" s="149"/>
      <c r="I274" s="149"/>
      <c r="J274" s="149"/>
      <c r="K274" s="149"/>
      <c r="L274" s="149"/>
      <c r="M274" s="149"/>
      <c r="N274" s="149"/>
      <c r="O274" s="149"/>
      <c r="P274" s="149"/>
      <c r="Q274" s="149"/>
      <c r="R274" s="149"/>
      <c r="S274" s="149"/>
      <c r="W274" s="149"/>
      <c r="X274" s="149"/>
      <c r="Y274" s="149"/>
      <c r="Z274" s="149"/>
    </row>
    <row r="275" spans="1:26">
      <c r="A275" s="149"/>
      <c r="B275" s="149"/>
      <c r="C275" s="149"/>
      <c r="D275" s="149"/>
      <c r="E275" s="149"/>
      <c r="F275" s="149"/>
      <c r="G275" s="149"/>
      <c r="H275" s="149"/>
      <c r="I275" s="149"/>
      <c r="J275" s="149"/>
      <c r="K275" s="149"/>
      <c r="L275" s="149"/>
      <c r="M275" s="149"/>
      <c r="N275" s="149"/>
      <c r="O275" s="149"/>
      <c r="P275" s="149"/>
      <c r="Q275" s="149"/>
      <c r="R275" s="149"/>
      <c r="S275" s="149"/>
      <c r="W275" s="149"/>
      <c r="X275" s="149"/>
      <c r="Y275" s="149"/>
      <c r="Z275" s="149"/>
    </row>
    <row r="276" spans="1:26">
      <c r="A276" s="149"/>
      <c r="B276" s="149"/>
      <c r="C276" s="149"/>
      <c r="D276" s="149"/>
      <c r="E276" s="149"/>
      <c r="F276" s="149"/>
      <c r="G276" s="149"/>
      <c r="H276" s="149"/>
      <c r="I276" s="149"/>
      <c r="J276" s="149"/>
      <c r="K276" s="149"/>
      <c r="L276" s="149"/>
      <c r="M276" s="149"/>
      <c r="N276" s="149"/>
      <c r="O276" s="149"/>
      <c r="P276" s="149"/>
      <c r="Q276" s="149"/>
      <c r="R276" s="149"/>
      <c r="S276" s="149"/>
      <c r="W276" s="149"/>
      <c r="X276" s="149"/>
      <c r="Y276" s="149"/>
      <c r="Z276" s="149"/>
    </row>
    <row r="277" spans="1:26">
      <c r="A277" s="149"/>
      <c r="B277" s="149"/>
      <c r="C277" s="149"/>
      <c r="D277" s="149"/>
      <c r="E277" s="149"/>
      <c r="F277" s="149"/>
      <c r="G277" s="149"/>
      <c r="H277" s="149"/>
      <c r="I277" s="149"/>
      <c r="J277" s="149"/>
      <c r="K277" s="149"/>
      <c r="L277" s="149"/>
      <c r="M277" s="149"/>
      <c r="N277" s="149"/>
      <c r="O277" s="149"/>
      <c r="P277" s="149"/>
      <c r="Q277" s="149"/>
      <c r="R277" s="149"/>
      <c r="S277" s="149"/>
      <c r="W277" s="149"/>
      <c r="X277" s="149"/>
      <c r="Y277" s="149"/>
      <c r="Z277" s="149"/>
    </row>
    <row r="278" spans="1:26">
      <c r="A278" s="149"/>
      <c r="B278" s="149"/>
      <c r="C278" s="149"/>
      <c r="D278" s="149"/>
      <c r="E278" s="149"/>
      <c r="F278" s="149"/>
      <c r="G278" s="149"/>
      <c r="H278" s="149"/>
      <c r="I278" s="149"/>
      <c r="J278" s="149"/>
      <c r="K278" s="149"/>
      <c r="L278" s="149"/>
      <c r="M278" s="149"/>
      <c r="N278" s="149"/>
      <c r="O278" s="149"/>
      <c r="P278" s="149"/>
      <c r="Q278" s="149"/>
      <c r="R278" s="149"/>
      <c r="S278" s="149"/>
      <c r="W278" s="149"/>
      <c r="X278" s="149"/>
      <c r="Y278" s="149"/>
      <c r="Z278" s="149"/>
    </row>
    <row r="279" spans="1:26">
      <c r="A279" s="149"/>
      <c r="B279" s="149"/>
      <c r="C279" s="149"/>
      <c r="D279" s="149"/>
      <c r="E279" s="149"/>
      <c r="F279" s="149"/>
      <c r="G279" s="149"/>
      <c r="H279" s="149"/>
      <c r="I279" s="149"/>
      <c r="J279" s="149"/>
      <c r="K279" s="149"/>
      <c r="L279" s="149"/>
      <c r="M279" s="149"/>
      <c r="N279" s="149"/>
      <c r="O279" s="149"/>
      <c r="P279" s="149"/>
      <c r="Q279" s="149"/>
      <c r="R279" s="149"/>
      <c r="S279" s="149"/>
      <c r="W279" s="149"/>
      <c r="X279" s="149"/>
      <c r="Y279" s="149"/>
      <c r="Z279" s="149"/>
    </row>
    <row r="280" spans="1:26">
      <c r="A280" s="149"/>
      <c r="B280" s="149"/>
      <c r="C280" s="149"/>
      <c r="D280" s="149"/>
      <c r="E280" s="149"/>
      <c r="F280" s="149"/>
      <c r="G280" s="149"/>
      <c r="H280" s="149"/>
      <c r="I280" s="149"/>
      <c r="J280" s="149"/>
      <c r="K280" s="149"/>
      <c r="L280" s="149"/>
      <c r="M280" s="149"/>
      <c r="N280" s="149"/>
      <c r="O280" s="149"/>
      <c r="P280" s="149"/>
      <c r="Q280" s="149"/>
      <c r="R280" s="149"/>
      <c r="S280" s="149"/>
      <c r="W280" s="149"/>
      <c r="X280" s="149"/>
      <c r="Y280" s="149"/>
      <c r="Z280" s="149"/>
    </row>
    <row r="281" spans="1:26">
      <c r="A281" s="149"/>
      <c r="B281" s="149"/>
      <c r="C281" s="149"/>
      <c r="D281" s="149"/>
      <c r="E281" s="149"/>
      <c r="F281" s="149"/>
      <c r="G281" s="149"/>
      <c r="H281" s="149"/>
      <c r="I281" s="149"/>
      <c r="J281" s="149"/>
      <c r="K281" s="149"/>
      <c r="L281" s="149"/>
      <c r="M281" s="149"/>
      <c r="N281" s="149"/>
      <c r="O281" s="149"/>
      <c r="P281" s="149"/>
      <c r="Q281" s="149"/>
      <c r="R281" s="149"/>
      <c r="S281" s="149"/>
      <c r="W281" s="149"/>
      <c r="X281" s="149"/>
      <c r="Y281" s="149"/>
      <c r="Z281" s="149"/>
    </row>
    <row r="282" spans="1:26">
      <c r="A282" s="149"/>
      <c r="B282" s="149"/>
      <c r="C282" s="149"/>
      <c r="D282" s="149"/>
      <c r="E282" s="149"/>
      <c r="F282" s="149"/>
      <c r="G282" s="149"/>
      <c r="H282" s="149"/>
      <c r="I282" s="149"/>
      <c r="J282" s="149"/>
      <c r="K282" s="149"/>
      <c r="L282" s="149"/>
      <c r="M282" s="149"/>
      <c r="N282" s="149"/>
      <c r="O282" s="149"/>
      <c r="P282" s="149"/>
      <c r="Q282" s="149"/>
      <c r="R282" s="149"/>
      <c r="S282" s="149"/>
      <c r="W282" s="149"/>
      <c r="X282" s="149"/>
      <c r="Y282" s="149"/>
      <c r="Z282" s="149"/>
    </row>
    <row r="283" spans="1:26">
      <c r="A283" s="149"/>
      <c r="B283" s="149"/>
      <c r="C283" s="149"/>
      <c r="D283" s="149"/>
      <c r="E283" s="149"/>
      <c r="F283" s="149"/>
      <c r="G283" s="149"/>
      <c r="H283" s="149"/>
      <c r="I283" s="149"/>
      <c r="J283" s="149"/>
      <c r="K283" s="149"/>
      <c r="L283" s="149"/>
      <c r="M283" s="149"/>
      <c r="N283" s="149"/>
      <c r="O283" s="149"/>
      <c r="P283" s="149"/>
      <c r="Q283" s="149"/>
      <c r="R283" s="149"/>
      <c r="S283" s="149"/>
      <c r="W283" s="149"/>
      <c r="X283" s="149"/>
      <c r="Y283" s="149"/>
      <c r="Z283" s="149"/>
    </row>
    <row r="284" spans="1:26">
      <c r="A284" s="149"/>
      <c r="B284" s="149"/>
      <c r="C284" s="149"/>
      <c r="D284" s="149"/>
      <c r="E284" s="149"/>
      <c r="F284" s="149"/>
      <c r="G284" s="149"/>
      <c r="H284" s="149"/>
      <c r="I284" s="149"/>
      <c r="J284" s="149"/>
      <c r="K284" s="149"/>
      <c r="L284" s="149"/>
      <c r="M284" s="149"/>
      <c r="N284" s="149"/>
      <c r="O284" s="149"/>
      <c r="P284" s="149"/>
      <c r="Q284" s="149"/>
      <c r="R284" s="149"/>
      <c r="S284" s="149"/>
      <c r="W284" s="149"/>
      <c r="X284" s="149"/>
      <c r="Y284" s="149"/>
      <c r="Z284" s="149"/>
    </row>
    <row r="285" spans="1:26">
      <c r="A285" s="149"/>
      <c r="B285" s="149"/>
      <c r="C285" s="149"/>
      <c r="D285" s="149"/>
      <c r="E285" s="149"/>
      <c r="F285" s="149"/>
      <c r="G285" s="149"/>
      <c r="H285" s="149"/>
      <c r="I285" s="149"/>
      <c r="J285" s="149"/>
      <c r="K285" s="149"/>
      <c r="L285" s="149"/>
      <c r="M285" s="149"/>
      <c r="N285" s="149"/>
      <c r="O285" s="149"/>
      <c r="P285" s="149"/>
      <c r="Q285" s="149"/>
      <c r="R285" s="149"/>
      <c r="S285" s="149"/>
      <c r="W285" s="149"/>
      <c r="X285" s="149"/>
      <c r="Y285" s="149"/>
      <c r="Z285" s="149"/>
    </row>
    <row r="286" spans="1:26">
      <c r="A286" s="149"/>
      <c r="B286" s="149"/>
      <c r="C286" s="149"/>
      <c r="D286" s="149"/>
      <c r="E286" s="149"/>
      <c r="F286" s="149"/>
      <c r="G286" s="149"/>
      <c r="H286" s="149"/>
      <c r="I286" s="149"/>
      <c r="J286" s="149"/>
      <c r="K286" s="149"/>
      <c r="L286" s="149"/>
      <c r="M286" s="149"/>
      <c r="N286" s="149"/>
      <c r="O286" s="149"/>
      <c r="P286" s="149"/>
      <c r="Q286" s="149"/>
      <c r="R286" s="149"/>
      <c r="S286" s="149"/>
      <c r="W286" s="149"/>
      <c r="X286" s="149"/>
      <c r="Y286" s="149"/>
      <c r="Z286" s="149"/>
    </row>
    <row r="287" spans="1:26">
      <c r="A287" s="149"/>
      <c r="B287" s="149"/>
      <c r="C287" s="149"/>
      <c r="D287" s="149"/>
      <c r="E287" s="149"/>
      <c r="F287" s="149"/>
      <c r="G287" s="149"/>
      <c r="H287" s="149"/>
      <c r="I287" s="149"/>
      <c r="J287" s="149"/>
      <c r="K287" s="149"/>
      <c r="L287" s="149"/>
      <c r="M287" s="149"/>
      <c r="N287" s="149"/>
      <c r="O287" s="149"/>
      <c r="P287" s="149"/>
      <c r="Q287" s="149"/>
      <c r="R287" s="149"/>
      <c r="S287" s="149"/>
      <c r="W287" s="149"/>
      <c r="X287" s="149"/>
      <c r="Y287" s="149"/>
      <c r="Z287" s="149"/>
    </row>
    <row r="288" spans="1:26">
      <c r="A288" s="149"/>
      <c r="B288" s="149"/>
      <c r="C288" s="149"/>
      <c r="D288" s="149"/>
      <c r="E288" s="149"/>
      <c r="F288" s="149"/>
      <c r="G288" s="149"/>
      <c r="H288" s="149"/>
      <c r="I288" s="149"/>
      <c r="J288" s="149"/>
      <c r="K288" s="149"/>
      <c r="L288" s="149"/>
      <c r="M288" s="149"/>
      <c r="N288" s="149"/>
      <c r="O288" s="149"/>
      <c r="P288" s="149"/>
      <c r="Q288" s="149"/>
      <c r="R288" s="149"/>
      <c r="S288" s="149"/>
      <c r="W288" s="149"/>
      <c r="X288" s="149"/>
      <c r="Y288" s="149"/>
      <c r="Z288" s="149"/>
    </row>
    <row r="289" spans="1:26">
      <c r="A289" s="149"/>
      <c r="B289" s="149"/>
      <c r="C289" s="149"/>
      <c r="D289" s="149"/>
      <c r="E289" s="149"/>
      <c r="F289" s="149"/>
      <c r="G289" s="149"/>
      <c r="H289" s="149"/>
      <c r="I289" s="149"/>
      <c r="J289" s="149"/>
      <c r="K289" s="149"/>
      <c r="L289" s="149"/>
      <c r="M289" s="149"/>
      <c r="N289" s="149"/>
      <c r="O289" s="149"/>
      <c r="P289" s="149"/>
      <c r="Q289" s="149"/>
      <c r="R289" s="149"/>
      <c r="S289" s="149"/>
      <c r="W289" s="149"/>
      <c r="X289" s="149"/>
      <c r="Y289" s="149"/>
      <c r="Z289" s="149"/>
    </row>
    <row r="290" spans="1:26">
      <c r="A290" s="149"/>
      <c r="B290" s="149"/>
      <c r="C290" s="149"/>
      <c r="D290" s="149"/>
      <c r="E290" s="149"/>
      <c r="F290" s="149"/>
      <c r="G290" s="149"/>
      <c r="H290" s="149"/>
      <c r="I290" s="149"/>
      <c r="J290" s="149"/>
      <c r="K290" s="149"/>
      <c r="L290" s="149"/>
      <c r="M290" s="149"/>
      <c r="N290" s="149"/>
      <c r="O290" s="149"/>
      <c r="P290" s="149"/>
      <c r="Q290" s="149"/>
      <c r="R290" s="149"/>
      <c r="S290" s="149"/>
      <c r="W290" s="149"/>
      <c r="X290" s="149"/>
      <c r="Y290" s="149"/>
      <c r="Z290" s="149"/>
    </row>
    <row r="291" spans="1:26">
      <c r="A291" s="149"/>
      <c r="B291" s="149"/>
      <c r="C291" s="149"/>
      <c r="D291" s="149"/>
      <c r="E291" s="149"/>
      <c r="F291" s="149"/>
      <c r="G291" s="149"/>
      <c r="H291" s="149"/>
      <c r="I291" s="149"/>
      <c r="J291" s="149"/>
      <c r="K291" s="149"/>
      <c r="L291" s="149"/>
      <c r="M291" s="149"/>
      <c r="N291" s="149"/>
      <c r="O291" s="149"/>
      <c r="P291" s="149"/>
      <c r="Q291" s="149"/>
      <c r="R291" s="149"/>
      <c r="S291" s="149"/>
      <c r="W291" s="149"/>
      <c r="X291" s="149"/>
      <c r="Y291" s="149"/>
      <c r="Z291" s="149"/>
    </row>
    <row r="292" spans="1:26">
      <c r="A292" s="149"/>
      <c r="B292" s="149"/>
      <c r="C292" s="149"/>
      <c r="D292" s="149"/>
      <c r="E292" s="149"/>
      <c r="F292" s="149"/>
      <c r="G292" s="149"/>
      <c r="H292" s="149"/>
      <c r="I292" s="149"/>
      <c r="J292" s="149"/>
      <c r="K292" s="149"/>
      <c r="L292" s="149"/>
      <c r="M292" s="149"/>
      <c r="N292" s="149"/>
      <c r="O292" s="149"/>
      <c r="P292" s="149"/>
      <c r="Q292" s="149"/>
      <c r="R292" s="149"/>
      <c r="S292" s="149"/>
      <c r="W292" s="149"/>
      <c r="X292" s="149"/>
      <c r="Y292" s="149"/>
      <c r="Z292" s="149"/>
    </row>
    <row r="293" spans="1:26">
      <c r="A293" s="149"/>
      <c r="B293" s="149"/>
      <c r="C293" s="149"/>
      <c r="D293" s="149"/>
      <c r="E293" s="149"/>
      <c r="F293" s="149"/>
      <c r="G293" s="149"/>
      <c r="H293" s="149"/>
      <c r="I293" s="149"/>
      <c r="J293" s="149"/>
      <c r="K293" s="149"/>
      <c r="L293" s="149"/>
      <c r="M293" s="149"/>
      <c r="N293" s="149"/>
      <c r="O293" s="149"/>
      <c r="P293" s="149"/>
      <c r="Q293" s="149"/>
      <c r="R293" s="149"/>
      <c r="S293" s="149"/>
      <c r="W293" s="149"/>
      <c r="X293" s="149"/>
      <c r="Y293" s="149"/>
      <c r="Z293" s="149"/>
    </row>
    <row r="294" spans="1:26">
      <c r="A294" s="149"/>
      <c r="B294" s="149"/>
      <c r="C294" s="149"/>
      <c r="D294" s="149"/>
      <c r="E294" s="149"/>
      <c r="F294" s="149"/>
      <c r="G294" s="149"/>
      <c r="H294" s="149"/>
      <c r="I294" s="149"/>
      <c r="J294" s="149"/>
      <c r="K294" s="149"/>
      <c r="L294" s="149"/>
      <c r="M294" s="149"/>
      <c r="N294" s="149"/>
      <c r="O294" s="149"/>
      <c r="P294" s="149"/>
      <c r="Q294" s="149"/>
      <c r="R294" s="149"/>
      <c r="S294" s="149"/>
      <c r="W294" s="149"/>
      <c r="X294" s="149"/>
      <c r="Y294" s="149"/>
      <c r="Z294" s="149"/>
    </row>
    <row r="295" spans="1:26">
      <c r="A295" s="149"/>
      <c r="B295" s="149"/>
      <c r="C295" s="149"/>
      <c r="D295" s="149"/>
      <c r="E295" s="149"/>
      <c r="F295" s="149"/>
      <c r="G295" s="149"/>
      <c r="H295" s="149"/>
      <c r="I295" s="149"/>
      <c r="J295" s="149"/>
      <c r="K295" s="149"/>
      <c r="L295" s="149"/>
      <c r="M295" s="149"/>
      <c r="N295" s="149"/>
      <c r="O295" s="149"/>
      <c r="P295" s="149"/>
      <c r="Q295" s="149"/>
      <c r="R295" s="149"/>
      <c r="S295" s="149"/>
      <c r="W295" s="149"/>
      <c r="X295" s="149"/>
      <c r="Y295" s="149"/>
      <c r="Z295" s="149"/>
    </row>
    <row r="296" spans="1:26">
      <c r="A296" s="149"/>
      <c r="B296" s="149"/>
      <c r="C296" s="149"/>
      <c r="D296" s="149"/>
      <c r="E296" s="149"/>
      <c r="F296" s="149"/>
      <c r="G296" s="149"/>
      <c r="H296" s="149"/>
      <c r="I296" s="149"/>
      <c r="J296" s="149"/>
      <c r="K296" s="149"/>
      <c r="L296" s="149"/>
      <c r="M296" s="149"/>
      <c r="N296" s="149"/>
      <c r="O296" s="149"/>
      <c r="P296" s="149"/>
      <c r="Q296" s="149"/>
      <c r="R296" s="149"/>
      <c r="S296" s="149"/>
      <c r="W296" s="149"/>
      <c r="X296" s="149"/>
      <c r="Y296" s="149"/>
      <c r="Z296" s="149"/>
    </row>
    <row r="297" spans="1:26">
      <c r="A297" s="149"/>
      <c r="B297" s="149"/>
      <c r="C297" s="149"/>
      <c r="D297" s="149"/>
      <c r="E297" s="149"/>
      <c r="F297" s="149"/>
      <c r="G297" s="149"/>
      <c r="H297" s="149"/>
      <c r="I297" s="149"/>
      <c r="J297" s="149"/>
      <c r="K297" s="149"/>
      <c r="L297" s="149"/>
      <c r="M297" s="149"/>
      <c r="N297" s="149"/>
      <c r="O297" s="149"/>
      <c r="P297" s="149"/>
      <c r="Q297" s="149"/>
      <c r="R297" s="149"/>
      <c r="S297" s="149"/>
      <c r="W297" s="149"/>
      <c r="X297" s="149"/>
      <c r="Y297" s="149"/>
      <c r="Z297" s="149"/>
    </row>
    <row r="298" spans="1:26">
      <c r="A298" s="149"/>
      <c r="B298" s="149"/>
      <c r="C298" s="149"/>
      <c r="D298" s="149"/>
      <c r="E298" s="149"/>
      <c r="F298" s="149"/>
      <c r="G298" s="149"/>
      <c r="H298" s="149"/>
      <c r="I298" s="149"/>
      <c r="J298" s="149"/>
      <c r="K298" s="149"/>
      <c r="L298" s="149"/>
      <c r="M298" s="149"/>
      <c r="N298" s="149"/>
      <c r="O298" s="149"/>
      <c r="P298" s="149"/>
      <c r="Q298" s="149"/>
      <c r="R298" s="149"/>
      <c r="S298" s="149"/>
      <c r="W298" s="149"/>
      <c r="X298" s="149"/>
      <c r="Y298" s="149"/>
      <c r="Z298" s="149"/>
    </row>
    <row r="299" spans="1:26">
      <c r="A299" s="149"/>
      <c r="B299" s="149"/>
      <c r="C299" s="149"/>
      <c r="D299" s="149"/>
      <c r="E299" s="149"/>
      <c r="F299" s="149"/>
      <c r="G299" s="149"/>
      <c r="H299" s="149"/>
      <c r="I299" s="149"/>
      <c r="J299" s="149"/>
      <c r="K299" s="149"/>
      <c r="L299" s="149"/>
      <c r="M299" s="149"/>
      <c r="N299" s="149"/>
      <c r="O299" s="149"/>
      <c r="P299" s="149"/>
      <c r="Q299" s="149"/>
      <c r="R299" s="149"/>
      <c r="S299" s="149"/>
      <c r="W299" s="149"/>
      <c r="X299" s="149"/>
      <c r="Y299" s="149"/>
      <c r="Z299" s="149"/>
    </row>
    <row r="300" spans="1:26">
      <c r="A300" s="149"/>
      <c r="B300" s="149"/>
      <c r="C300" s="149"/>
      <c r="D300" s="149"/>
      <c r="E300" s="149"/>
      <c r="F300" s="149"/>
      <c r="G300" s="149"/>
      <c r="H300" s="149"/>
      <c r="I300" s="149"/>
      <c r="J300" s="149"/>
      <c r="K300" s="149"/>
      <c r="L300" s="149"/>
      <c r="M300" s="149"/>
      <c r="N300" s="149"/>
      <c r="O300" s="149"/>
      <c r="P300" s="149"/>
      <c r="Q300" s="149"/>
      <c r="R300" s="149"/>
      <c r="S300" s="149"/>
      <c r="W300" s="149"/>
      <c r="X300" s="149"/>
      <c r="Y300" s="149"/>
      <c r="Z300" s="149"/>
    </row>
    <row r="301" spans="1:26">
      <c r="A301" s="149"/>
      <c r="B301" s="149"/>
      <c r="C301" s="149"/>
      <c r="D301" s="149"/>
      <c r="E301" s="149"/>
      <c r="F301" s="149"/>
      <c r="G301" s="149"/>
      <c r="H301" s="149"/>
      <c r="I301" s="149"/>
      <c r="J301" s="149"/>
      <c r="K301" s="149"/>
      <c r="L301" s="149"/>
      <c r="M301" s="149"/>
      <c r="N301" s="149"/>
      <c r="O301" s="149"/>
      <c r="P301" s="149"/>
      <c r="Q301" s="149"/>
      <c r="R301" s="149"/>
      <c r="S301" s="149"/>
      <c r="W301" s="149"/>
      <c r="X301" s="149"/>
      <c r="Y301" s="149"/>
      <c r="Z301" s="149"/>
    </row>
    <row r="302" spans="1:26">
      <c r="A302" s="149"/>
      <c r="B302" s="149"/>
      <c r="C302" s="149"/>
      <c r="D302" s="149"/>
      <c r="E302" s="149"/>
      <c r="F302" s="149"/>
      <c r="G302" s="149"/>
      <c r="H302" s="149"/>
      <c r="I302" s="149"/>
      <c r="J302" s="149"/>
      <c r="K302" s="149"/>
      <c r="L302" s="149"/>
      <c r="M302" s="149"/>
      <c r="N302" s="149"/>
      <c r="O302" s="149"/>
      <c r="P302" s="149"/>
      <c r="Q302" s="149"/>
      <c r="R302" s="149"/>
      <c r="S302" s="149"/>
      <c r="W302" s="149"/>
      <c r="X302" s="149"/>
      <c r="Y302" s="149"/>
      <c r="Z302" s="149"/>
    </row>
    <row r="303" spans="1:26">
      <c r="A303" s="149"/>
      <c r="B303" s="149"/>
      <c r="C303" s="149"/>
      <c r="D303" s="149"/>
      <c r="E303" s="149"/>
      <c r="F303" s="149"/>
      <c r="G303" s="149"/>
      <c r="H303" s="149"/>
      <c r="I303" s="149"/>
      <c r="J303" s="149"/>
      <c r="K303" s="149"/>
      <c r="L303" s="149"/>
      <c r="M303" s="149"/>
      <c r="N303" s="149"/>
      <c r="O303" s="149"/>
      <c r="P303" s="149"/>
      <c r="Q303" s="149"/>
      <c r="R303" s="149"/>
      <c r="S303" s="149"/>
      <c r="W303" s="149"/>
      <c r="X303" s="149"/>
      <c r="Y303" s="149"/>
      <c r="Z303" s="149"/>
    </row>
    <row r="304" spans="1:26">
      <c r="A304" s="149"/>
      <c r="B304" s="149"/>
      <c r="C304" s="149"/>
      <c r="D304" s="149"/>
      <c r="E304" s="149"/>
      <c r="F304" s="149"/>
      <c r="G304" s="149"/>
      <c r="H304" s="149"/>
      <c r="I304" s="149"/>
      <c r="J304" s="149"/>
      <c r="K304" s="149"/>
      <c r="L304" s="149"/>
      <c r="M304" s="149"/>
      <c r="N304" s="149"/>
      <c r="O304" s="149"/>
      <c r="P304" s="149"/>
      <c r="Q304" s="149"/>
      <c r="R304" s="149"/>
      <c r="S304" s="149"/>
      <c r="W304" s="149"/>
      <c r="X304" s="149"/>
      <c r="Y304" s="149"/>
      <c r="Z304" s="149"/>
    </row>
    <row r="305" spans="1:26">
      <c r="A305" s="149"/>
      <c r="B305" s="149"/>
      <c r="C305" s="149"/>
      <c r="D305" s="149"/>
      <c r="E305" s="149"/>
      <c r="F305" s="149"/>
      <c r="G305" s="149"/>
      <c r="H305" s="149"/>
      <c r="I305" s="149"/>
      <c r="J305" s="149"/>
      <c r="K305" s="149"/>
      <c r="L305" s="149"/>
      <c r="M305" s="149"/>
      <c r="N305" s="149"/>
      <c r="O305" s="149"/>
      <c r="P305" s="149"/>
      <c r="Q305" s="149"/>
      <c r="R305" s="149"/>
      <c r="S305" s="149"/>
      <c r="W305" s="149"/>
      <c r="X305" s="149"/>
      <c r="Y305" s="149"/>
      <c r="Z305" s="149"/>
    </row>
    <row r="306" spans="1:26">
      <c r="A306" s="149"/>
      <c r="B306" s="149"/>
      <c r="C306" s="149"/>
      <c r="D306" s="149"/>
      <c r="E306" s="149"/>
      <c r="F306" s="149"/>
      <c r="G306" s="149"/>
      <c r="H306" s="149"/>
      <c r="I306" s="149"/>
      <c r="J306" s="149"/>
      <c r="K306" s="149"/>
      <c r="L306" s="149"/>
      <c r="M306" s="149"/>
      <c r="N306" s="149"/>
      <c r="O306" s="149"/>
      <c r="P306" s="149"/>
      <c r="Q306" s="149"/>
      <c r="R306" s="149"/>
      <c r="S306" s="149"/>
      <c r="W306" s="149"/>
      <c r="X306" s="149"/>
      <c r="Y306" s="149"/>
      <c r="Z306" s="149"/>
    </row>
    <row r="307" spans="1:26">
      <c r="A307" s="149"/>
      <c r="B307" s="149"/>
      <c r="C307" s="149"/>
      <c r="D307" s="149"/>
      <c r="E307" s="149"/>
      <c r="F307" s="149"/>
      <c r="G307" s="149"/>
      <c r="H307" s="149"/>
      <c r="I307" s="149"/>
      <c r="J307" s="149"/>
      <c r="K307" s="149"/>
      <c r="L307" s="149"/>
      <c r="M307" s="149"/>
      <c r="N307" s="149"/>
      <c r="O307" s="149"/>
      <c r="P307" s="149"/>
      <c r="Q307" s="149"/>
      <c r="R307" s="149"/>
      <c r="S307" s="149"/>
      <c r="W307" s="149"/>
      <c r="X307" s="149"/>
      <c r="Y307" s="149"/>
      <c r="Z307" s="149"/>
    </row>
    <row r="308" spans="1:26">
      <c r="A308" s="149"/>
      <c r="B308" s="149"/>
      <c r="C308" s="149"/>
      <c r="D308" s="149"/>
      <c r="E308" s="149"/>
      <c r="F308" s="149"/>
      <c r="G308" s="149"/>
      <c r="H308" s="149"/>
      <c r="I308" s="149"/>
      <c r="J308" s="149"/>
      <c r="K308" s="149"/>
      <c r="L308" s="149"/>
      <c r="M308" s="149"/>
      <c r="N308" s="149"/>
      <c r="O308" s="149"/>
      <c r="P308" s="149"/>
      <c r="Q308" s="149"/>
      <c r="R308" s="149"/>
      <c r="S308" s="149"/>
      <c r="W308" s="149"/>
      <c r="X308" s="149"/>
      <c r="Y308" s="149"/>
      <c r="Z308" s="149"/>
    </row>
    <row r="309" spans="1:26">
      <c r="A309" s="149"/>
      <c r="B309" s="149"/>
      <c r="C309" s="149"/>
      <c r="D309" s="149"/>
      <c r="E309" s="149"/>
      <c r="F309" s="149"/>
      <c r="G309" s="149"/>
      <c r="H309" s="149"/>
      <c r="I309" s="149"/>
      <c r="J309" s="149"/>
      <c r="K309" s="149"/>
      <c r="L309" s="149"/>
      <c r="M309" s="149"/>
      <c r="N309" s="149"/>
      <c r="O309" s="149"/>
      <c r="P309" s="149"/>
      <c r="Q309" s="149"/>
      <c r="R309" s="149"/>
      <c r="S309" s="149"/>
      <c r="W309" s="149"/>
      <c r="X309" s="149"/>
      <c r="Y309" s="149"/>
      <c r="Z309" s="149"/>
    </row>
    <row r="310" spans="1:26">
      <c r="A310" s="149"/>
      <c r="B310" s="149"/>
      <c r="C310" s="149"/>
      <c r="D310" s="149"/>
      <c r="E310" s="149"/>
      <c r="F310" s="149"/>
      <c r="G310" s="149"/>
      <c r="H310" s="149"/>
      <c r="I310" s="149"/>
      <c r="J310" s="149"/>
      <c r="K310" s="149"/>
      <c r="L310" s="149"/>
      <c r="M310" s="149"/>
      <c r="N310" s="149"/>
      <c r="O310" s="149"/>
      <c r="P310" s="149"/>
      <c r="Q310" s="149"/>
      <c r="R310" s="149"/>
      <c r="S310" s="149"/>
      <c r="W310" s="149"/>
      <c r="X310" s="149"/>
      <c r="Y310" s="149"/>
      <c r="Z310" s="149"/>
    </row>
    <row r="311" spans="1:26">
      <c r="A311" s="149"/>
      <c r="B311" s="149"/>
      <c r="C311" s="149"/>
      <c r="D311" s="149"/>
      <c r="E311" s="149"/>
      <c r="F311" s="149"/>
      <c r="G311" s="149"/>
      <c r="H311" s="149"/>
      <c r="I311" s="149"/>
      <c r="J311" s="149"/>
      <c r="K311" s="149"/>
      <c r="L311" s="149"/>
      <c r="M311" s="149"/>
      <c r="N311" s="149"/>
      <c r="O311" s="149"/>
      <c r="P311" s="149"/>
      <c r="Q311" s="149"/>
      <c r="R311" s="149"/>
      <c r="S311" s="149"/>
      <c r="W311" s="149"/>
      <c r="X311" s="149"/>
      <c r="Y311" s="149"/>
      <c r="Z311" s="149"/>
    </row>
    <row r="312" spans="1:26">
      <c r="A312" s="149"/>
      <c r="B312" s="149"/>
      <c r="C312" s="149"/>
      <c r="D312" s="149"/>
      <c r="E312" s="149"/>
      <c r="F312" s="149"/>
      <c r="G312" s="149"/>
      <c r="H312" s="149"/>
      <c r="I312" s="149"/>
      <c r="J312" s="149"/>
      <c r="K312" s="149"/>
      <c r="L312" s="149"/>
      <c r="M312" s="149"/>
      <c r="N312" s="149"/>
      <c r="O312" s="149"/>
      <c r="P312" s="149"/>
      <c r="Q312" s="149"/>
      <c r="R312" s="149"/>
      <c r="S312" s="149"/>
      <c r="W312" s="149"/>
      <c r="X312" s="149"/>
      <c r="Y312" s="149"/>
      <c r="Z312" s="149"/>
    </row>
    <row r="313" spans="1:26">
      <c r="A313" s="149"/>
      <c r="B313" s="149"/>
      <c r="C313" s="149"/>
      <c r="D313" s="149"/>
      <c r="E313" s="149"/>
      <c r="F313" s="149"/>
      <c r="G313" s="149"/>
      <c r="H313" s="149"/>
      <c r="I313" s="149"/>
      <c r="J313" s="149"/>
      <c r="K313" s="149"/>
      <c r="L313" s="149"/>
      <c r="M313" s="149"/>
      <c r="N313" s="149"/>
      <c r="O313" s="149"/>
      <c r="P313" s="149"/>
      <c r="Q313" s="149"/>
      <c r="R313" s="149"/>
      <c r="S313" s="149"/>
      <c r="W313" s="149"/>
      <c r="X313" s="149"/>
      <c r="Y313" s="149"/>
      <c r="Z313" s="149"/>
    </row>
    <row r="314" spans="1:26">
      <c r="A314" s="149"/>
      <c r="B314" s="149"/>
      <c r="C314" s="149"/>
      <c r="D314" s="149"/>
      <c r="E314" s="149"/>
      <c r="F314" s="149"/>
      <c r="G314" s="149"/>
      <c r="H314" s="149"/>
      <c r="I314" s="149"/>
      <c r="J314" s="149"/>
      <c r="K314" s="149"/>
      <c r="L314" s="149"/>
      <c r="M314" s="149"/>
      <c r="N314" s="149"/>
      <c r="O314" s="149"/>
      <c r="P314" s="149"/>
      <c r="Q314" s="149"/>
      <c r="R314" s="149"/>
      <c r="S314" s="149"/>
      <c r="W314" s="149"/>
      <c r="X314" s="149"/>
      <c r="Y314" s="149"/>
      <c r="Z314" s="149"/>
    </row>
    <row r="315" spans="1:26">
      <c r="A315" s="149"/>
      <c r="B315" s="149"/>
      <c r="C315" s="149"/>
      <c r="D315" s="149"/>
      <c r="E315" s="149"/>
      <c r="F315" s="149"/>
      <c r="G315" s="149"/>
      <c r="H315" s="149"/>
      <c r="I315" s="149"/>
      <c r="J315" s="149"/>
      <c r="K315" s="149"/>
      <c r="L315" s="149"/>
      <c r="M315" s="149"/>
      <c r="N315" s="149"/>
      <c r="O315" s="149"/>
      <c r="P315" s="149"/>
      <c r="Q315" s="149"/>
      <c r="R315" s="149"/>
      <c r="S315" s="149"/>
      <c r="W315" s="149"/>
      <c r="X315" s="149"/>
      <c r="Y315" s="149"/>
      <c r="Z315" s="149"/>
    </row>
    <row r="316" spans="1:26">
      <c r="A316" s="149"/>
      <c r="B316" s="149"/>
      <c r="C316" s="149"/>
      <c r="D316" s="149"/>
      <c r="E316" s="149"/>
      <c r="F316" s="149"/>
      <c r="G316" s="149"/>
      <c r="H316" s="149"/>
      <c r="I316" s="149"/>
      <c r="J316" s="149"/>
      <c r="K316" s="149"/>
      <c r="L316" s="149"/>
      <c r="M316" s="149"/>
      <c r="N316" s="149"/>
      <c r="O316" s="149"/>
      <c r="P316" s="149"/>
      <c r="Q316" s="149"/>
      <c r="R316" s="149"/>
      <c r="S316" s="149"/>
      <c r="W316" s="149"/>
      <c r="X316" s="149"/>
      <c r="Y316" s="149"/>
      <c r="Z316" s="149"/>
    </row>
    <row r="317" spans="1:26">
      <c r="A317" s="149"/>
      <c r="B317" s="149"/>
      <c r="C317" s="149"/>
      <c r="D317" s="149"/>
      <c r="E317" s="149"/>
      <c r="F317" s="149"/>
      <c r="G317" s="149"/>
      <c r="H317" s="149"/>
      <c r="I317" s="149"/>
      <c r="J317" s="149"/>
      <c r="K317" s="149"/>
      <c r="L317" s="149"/>
      <c r="M317" s="149"/>
      <c r="N317" s="149"/>
      <c r="O317" s="149"/>
      <c r="P317" s="149"/>
      <c r="Q317" s="149"/>
      <c r="R317" s="149"/>
      <c r="S317" s="149"/>
      <c r="W317" s="149"/>
      <c r="X317" s="149"/>
      <c r="Y317" s="149"/>
      <c r="Z317" s="149"/>
    </row>
    <row r="318" spans="1:26">
      <c r="A318" s="149"/>
      <c r="B318" s="149"/>
      <c r="C318" s="149"/>
      <c r="D318" s="149"/>
      <c r="E318" s="149"/>
      <c r="F318" s="149"/>
      <c r="G318" s="149"/>
      <c r="H318" s="149"/>
      <c r="I318" s="149"/>
      <c r="J318" s="149"/>
      <c r="K318" s="149"/>
      <c r="L318" s="149"/>
      <c r="M318" s="149"/>
      <c r="N318" s="149"/>
      <c r="O318" s="149"/>
      <c r="P318" s="149"/>
      <c r="Q318" s="149"/>
      <c r="R318" s="149"/>
      <c r="S318" s="149"/>
      <c r="W318" s="149"/>
      <c r="X318" s="149"/>
      <c r="Y318" s="149"/>
      <c r="Z318" s="149"/>
    </row>
    <row r="319" spans="1:26">
      <c r="A319" s="149"/>
      <c r="B319" s="149"/>
      <c r="C319" s="149"/>
      <c r="D319" s="149"/>
      <c r="E319" s="149"/>
      <c r="F319" s="149"/>
      <c r="G319" s="149"/>
      <c r="H319" s="149"/>
      <c r="I319" s="149"/>
      <c r="J319" s="149"/>
      <c r="K319" s="149"/>
      <c r="L319" s="149"/>
      <c r="M319" s="149"/>
      <c r="N319" s="149"/>
      <c r="O319" s="149"/>
      <c r="P319" s="149"/>
      <c r="Q319" s="149"/>
      <c r="R319" s="149"/>
      <c r="S319" s="149"/>
      <c r="W319" s="149"/>
      <c r="X319" s="149"/>
      <c r="Y319" s="149"/>
      <c r="Z319" s="149"/>
    </row>
    <row r="320" spans="1:26">
      <c r="A320" s="149"/>
      <c r="B320" s="149"/>
      <c r="C320" s="149"/>
      <c r="D320" s="149"/>
      <c r="E320" s="149"/>
      <c r="F320" s="149"/>
      <c r="G320" s="149"/>
      <c r="H320" s="149"/>
      <c r="I320" s="149"/>
      <c r="J320" s="149"/>
      <c r="K320" s="149"/>
      <c r="L320" s="149"/>
      <c r="M320" s="149"/>
      <c r="N320" s="149"/>
      <c r="O320" s="149"/>
      <c r="P320" s="149"/>
      <c r="Q320" s="149"/>
      <c r="R320" s="149"/>
      <c r="S320" s="149"/>
      <c r="W320" s="149"/>
      <c r="X320" s="149"/>
      <c r="Y320" s="149"/>
      <c r="Z320" s="149"/>
    </row>
    <row r="321" spans="1:26">
      <c r="A321" s="149"/>
      <c r="B321" s="149"/>
      <c r="C321" s="149"/>
      <c r="D321" s="149"/>
      <c r="E321" s="149"/>
      <c r="F321" s="149"/>
      <c r="G321" s="149"/>
      <c r="H321" s="149"/>
      <c r="I321" s="149"/>
      <c r="J321" s="149"/>
      <c r="K321" s="149"/>
      <c r="L321" s="149"/>
      <c r="M321" s="149"/>
      <c r="N321" s="149"/>
      <c r="O321" s="149"/>
      <c r="P321" s="149"/>
      <c r="Q321" s="149"/>
      <c r="R321" s="149"/>
      <c r="S321" s="149"/>
      <c r="W321" s="149"/>
      <c r="X321" s="149"/>
      <c r="Y321" s="149"/>
      <c r="Z321" s="149"/>
    </row>
    <row r="322" spans="1:26">
      <c r="A322" s="149"/>
      <c r="B322" s="149"/>
      <c r="C322" s="149"/>
      <c r="D322" s="149"/>
      <c r="E322" s="149"/>
      <c r="F322" s="149"/>
      <c r="G322" s="149"/>
      <c r="H322" s="149"/>
      <c r="I322" s="149"/>
      <c r="J322" s="149"/>
      <c r="K322" s="149"/>
      <c r="L322" s="149"/>
      <c r="M322" s="149"/>
      <c r="N322" s="149"/>
      <c r="O322" s="149"/>
      <c r="P322" s="149"/>
      <c r="Q322" s="149"/>
      <c r="R322" s="149"/>
      <c r="S322" s="149"/>
      <c r="W322" s="149"/>
      <c r="X322" s="149"/>
      <c r="Y322" s="149"/>
      <c r="Z322" s="149"/>
    </row>
    <row r="323" spans="1:26">
      <c r="A323" s="149"/>
      <c r="B323" s="149"/>
      <c r="C323" s="149"/>
      <c r="D323" s="149"/>
      <c r="E323" s="149"/>
      <c r="F323" s="149"/>
      <c r="G323" s="149"/>
      <c r="H323" s="149"/>
      <c r="I323" s="149"/>
      <c r="J323" s="149"/>
      <c r="K323" s="149"/>
      <c r="L323" s="149"/>
      <c r="M323" s="149"/>
      <c r="N323" s="149"/>
      <c r="O323" s="149"/>
      <c r="P323" s="149"/>
      <c r="Q323" s="149"/>
      <c r="R323" s="149"/>
      <c r="S323" s="149"/>
      <c r="W323" s="149"/>
      <c r="X323" s="149"/>
      <c r="Y323" s="149"/>
      <c r="Z323" s="149"/>
    </row>
    <row r="324" spans="1:26">
      <c r="A324" s="149"/>
      <c r="B324" s="149"/>
      <c r="C324" s="149"/>
      <c r="D324" s="149"/>
      <c r="E324" s="149"/>
      <c r="F324" s="149"/>
      <c r="G324" s="149"/>
      <c r="H324" s="149"/>
      <c r="I324" s="149"/>
      <c r="J324" s="149"/>
      <c r="K324" s="149"/>
      <c r="L324" s="149"/>
      <c r="M324" s="149"/>
      <c r="N324" s="149"/>
      <c r="O324" s="149"/>
      <c r="P324" s="149"/>
      <c r="Q324" s="149"/>
      <c r="R324" s="149"/>
      <c r="S324" s="149"/>
      <c r="W324" s="149"/>
      <c r="X324" s="149"/>
      <c r="Y324" s="149"/>
      <c r="Z324" s="149"/>
    </row>
    <row r="325" spans="1:26">
      <c r="A325" s="149"/>
      <c r="B325" s="149"/>
      <c r="C325" s="149"/>
      <c r="D325" s="149"/>
      <c r="E325" s="149"/>
      <c r="F325" s="149"/>
      <c r="G325" s="149"/>
      <c r="H325" s="149"/>
      <c r="I325" s="149"/>
      <c r="J325" s="149"/>
      <c r="K325" s="149"/>
      <c r="L325" s="149"/>
      <c r="M325" s="149"/>
      <c r="N325" s="149"/>
      <c r="O325" s="149"/>
      <c r="P325" s="149"/>
      <c r="Q325" s="149"/>
      <c r="R325" s="149"/>
      <c r="S325" s="149"/>
      <c r="W325" s="149"/>
      <c r="X325" s="149"/>
      <c r="Y325" s="149"/>
      <c r="Z325" s="149"/>
    </row>
    <row r="326" spans="1:26">
      <c r="A326" s="149"/>
      <c r="B326" s="149"/>
      <c r="C326" s="149"/>
      <c r="D326" s="149"/>
      <c r="E326" s="149"/>
      <c r="F326" s="149"/>
      <c r="G326" s="149"/>
      <c r="H326" s="149"/>
      <c r="I326" s="149"/>
      <c r="J326" s="149"/>
      <c r="K326" s="149"/>
      <c r="L326" s="149"/>
      <c r="M326" s="149"/>
      <c r="N326" s="149"/>
      <c r="O326" s="149"/>
      <c r="P326" s="149"/>
      <c r="Q326" s="149"/>
      <c r="R326" s="149"/>
      <c r="S326" s="149"/>
      <c r="W326" s="149"/>
      <c r="X326" s="149"/>
      <c r="Y326" s="149"/>
      <c r="Z326" s="149"/>
    </row>
    <row r="327" spans="1:26">
      <c r="A327" s="149"/>
      <c r="B327" s="149"/>
      <c r="C327" s="149"/>
      <c r="D327" s="149"/>
      <c r="E327" s="149"/>
      <c r="F327" s="149"/>
      <c r="G327" s="149"/>
      <c r="H327" s="149"/>
      <c r="I327" s="149"/>
      <c r="J327" s="149"/>
      <c r="K327" s="149"/>
      <c r="L327" s="149"/>
      <c r="M327" s="149"/>
      <c r="N327" s="149"/>
      <c r="O327" s="149"/>
      <c r="P327" s="149"/>
      <c r="Q327" s="149"/>
      <c r="R327" s="149"/>
      <c r="S327" s="149"/>
      <c r="W327" s="149"/>
      <c r="X327" s="149"/>
      <c r="Y327" s="149"/>
      <c r="Z327" s="149"/>
    </row>
    <row r="328" spans="1:26">
      <c r="A328" s="149"/>
      <c r="B328" s="149"/>
      <c r="C328" s="149"/>
      <c r="D328" s="149"/>
      <c r="E328" s="149"/>
      <c r="F328" s="149"/>
      <c r="G328" s="149"/>
      <c r="H328" s="149"/>
      <c r="I328" s="149"/>
      <c r="J328" s="149"/>
      <c r="K328" s="149"/>
      <c r="L328" s="149"/>
      <c r="M328" s="149"/>
      <c r="N328" s="149"/>
      <c r="O328" s="149"/>
      <c r="P328" s="149"/>
      <c r="Q328" s="149"/>
      <c r="R328" s="149"/>
      <c r="S328" s="149"/>
      <c r="W328" s="149"/>
      <c r="X328" s="149"/>
      <c r="Y328" s="149"/>
      <c r="Z328" s="149"/>
    </row>
    <row r="329" spans="1:26">
      <c r="A329" s="149"/>
      <c r="B329" s="149"/>
      <c r="C329" s="149"/>
      <c r="D329" s="149"/>
      <c r="E329" s="149"/>
      <c r="F329" s="149"/>
      <c r="G329" s="149"/>
      <c r="H329" s="149"/>
      <c r="I329" s="149"/>
      <c r="J329" s="149"/>
      <c r="K329" s="149"/>
      <c r="L329" s="149"/>
      <c r="M329" s="149"/>
      <c r="N329" s="149"/>
      <c r="O329" s="149"/>
      <c r="P329" s="149"/>
      <c r="Q329" s="149"/>
      <c r="R329" s="149"/>
      <c r="S329" s="149"/>
      <c r="W329" s="149"/>
      <c r="X329" s="149"/>
      <c r="Y329" s="149"/>
      <c r="Z329" s="149"/>
    </row>
    <row r="330" spans="1:26">
      <c r="A330" s="149"/>
      <c r="B330" s="149"/>
      <c r="C330" s="149"/>
      <c r="D330" s="149"/>
      <c r="E330" s="149"/>
      <c r="F330" s="149"/>
      <c r="G330" s="149"/>
      <c r="H330" s="149"/>
      <c r="I330" s="149"/>
      <c r="J330" s="149"/>
      <c r="K330" s="149"/>
      <c r="L330" s="149"/>
      <c r="M330" s="149"/>
      <c r="N330" s="149"/>
      <c r="O330" s="149"/>
      <c r="P330" s="149"/>
      <c r="Q330" s="149"/>
      <c r="R330" s="149"/>
      <c r="S330" s="149"/>
      <c r="W330" s="149"/>
      <c r="X330" s="149"/>
      <c r="Y330" s="149"/>
      <c r="Z330" s="149"/>
    </row>
    <row r="331" spans="1:26">
      <c r="A331" s="149"/>
      <c r="B331" s="149"/>
      <c r="C331" s="149"/>
      <c r="D331" s="149"/>
      <c r="E331" s="149"/>
      <c r="F331" s="149"/>
      <c r="G331" s="149"/>
      <c r="H331" s="149"/>
      <c r="I331" s="149"/>
      <c r="J331" s="149"/>
      <c r="K331" s="149"/>
      <c r="L331" s="149"/>
      <c r="M331" s="149"/>
      <c r="N331" s="149"/>
      <c r="O331" s="149"/>
      <c r="P331" s="149"/>
      <c r="Q331" s="149"/>
      <c r="R331" s="149"/>
      <c r="S331" s="149"/>
      <c r="W331" s="149"/>
      <c r="X331" s="149"/>
      <c r="Y331" s="149"/>
      <c r="Z331" s="149"/>
    </row>
    <row r="332" spans="1:26">
      <c r="A332" s="149"/>
      <c r="B332" s="149"/>
      <c r="C332" s="149"/>
      <c r="D332" s="149"/>
      <c r="E332" s="149"/>
      <c r="F332" s="149"/>
      <c r="G332" s="149"/>
      <c r="H332" s="149"/>
      <c r="I332" s="149"/>
      <c r="J332" s="149"/>
      <c r="K332" s="149"/>
      <c r="L332" s="149"/>
      <c r="M332" s="149"/>
      <c r="N332" s="149"/>
      <c r="O332" s="149"/>
      <c r="P332" s="149"/>
      <c r="Q332" s="149"/>
      <c r="R332" s="149"/>
      <c r="S332" s="149"/>
      <c r="W332" s="149"/>
      <c r="X332" s="149"/>
      <c r="Y332" s="149"/>
      <c r="Z332" s="149"/>
    </row>
    <row r="333" spans="1:26">
      <c r="A333" s="149"/>
      <c r="B333" s="149"/>
      <c r="C333" s="149"/>
      <c r="D333" s="149"/>
      <c r="E333" s="149"/>
      <c r="F333" s="149"/>
      <c r="G333" s="149"/>
      <c r="H333" s="149"/>
      <c r="I333" s="149"/>
      <c r="J333" s="149"/>
      <c r="K333" s="149"/>
      <c r="L333" s="149"/>
      <c r="M333" s="149"/>
      <c r="N333" s="149"/>
      <c r="O333" s="149"/>
      <c r="P333" s="149"/>
      <c r="Q333" s="149"/>
      <c r="R333" s="149"/>
      <c r="S333" s="149"/>
      <c r="W333" s="149"/>
      <c r="X333" s="149"/>
      <c r="Y333" s="149"/>
      <c r="Z333" s="149"/>
    </row>
    <row r="334" spans="1:26">
      <c r="A334" s="149"/>
      <c r="B334" s="149"/>
      <c r="C334" s="149"/>
      <c r="D334" s="149"/>
      <c r="E334" s="149"/>
      <c r="F334" s="149"/>
      <c r="G334" s="149"/>
      <c r="H334" s="149"/>
      <c r="I334" s="149"/>
      <c r="J334" s="149"/>
      <c r="K334" s="149"/>
      <c r="L334" s="149"/>
      <c r="M334" s="149"/>
      <c r="N334" s="149"/>
      <c r="O334" s="149"/>
      <c r="P334" s="149"/>
      <c r="Q334" s="149"/>
      <c r="R334" s="149"/>
      <c r="S334" s="149"/>
      <c r="W334" s="149"/>
      <c r="X334" s="149"/>
      <c r="Y334" s="149"/>
      <c r="Z334" s="149"/>
    </row>
    <row r="335" spans="1:26">
      <c r="A335" s="149"/>
      <c r="B335" s="149"/>
      <c r="C335" s="149"/>
      <c r="D335" s="149"/>
      <c r="E335" s="149"/>
      <c r="F335" s="149"/>
      <c r="G335" s="149"/>
      <c r="H335" s="149"/>
      <c r="I335" s="149"/>
      <c r="J335" s="149"/>
      <c r="K335" s="149"/>
      <c r="L335" s="149"/>
      <c r="M335" s="149"/>
      <c r="N335" s="149"/>
      <c r="O335" s="149"/>
      <c r="P335" s="149"/>
      <c r="Q335" s="149"/>
      <c r="R335" s="149"/>
      <c r="S335" s="149"/>
      <c r="W335" s="149"/>
      <c r="X335" s="149"/>
      <c r="Y335" s="149"/>
      <c r="Z335" s="149"/>
    </row>
    <row r="336" spans="1:26">
      <c r="A336" s="149"/>
      <c r="B336" s="149"/>
      <c r="C336" s="149"/>
      <c r="D336" s="149"/>
      <c r="E336" s="149"/>
      <c r="F336" s="149"/>
      <c r="G336" s="149"/>
      <c r="H336" s="149"/>
      <c r="I336" s="149"/>
      <c r="J336" s="149"/>
      <c r="K336" s="149"/>
      <c r="L336" s="149"/>
      <c r="M336" s="149"/>
      <c r="N336" s="149"/>
      <c r="O336" s="149"/>
      <c r="P336" s="149"/>
      <c r="Q336" s="149"/>
      <c r="R336" s="149"/>
      <c r="S336" s="149"/>
      <c r="W336" s="149"/>
      <c r="X336" s="149"/>
      <c r="Y336" s="149"/>
      <c r="Z336" s="149"/>
    </row>
    <row r="337" spans="1:26">
      <c r="A337" s="149"/>
      <c r="B337" s="149"/>
      <c r="C337" s="149"/>
      <c r="D337" s="149"/>
      <c r="E337" s="149"/>
      <c r="F337" s="149"/>
      <c r="G337" s="149"/>
      <c r="H337" s="149"/>
      <c r="I337" s="149"/>
      <c r="J337" s="149"/>
      <c r="K337" s="149"/>
      <c r="L337" s="149"/>
      <c r="M337" s="149"/>
      <c r="N337" s="149"/>
      <c r="O337" s="149"/>
      <c r="P337" s="149"/>
      <c r="Q337" s="149"/>
      <c r="R337" s="149"/>
      <c r="S337" s="149"/>
      <c r="W337" s="149"/>
      <c r="X337" s="149"/>
      <c r="Y337" s="149"/>
      <c r="Z337" s="149"/>
    </row>
    <row r="338" spans="1:26">
      <c r="A338" s="149"/>
      <c r="B338" s="149"/>
      <c r="C338" s="149"/>
      <c r="D338" s="149"/>
      <c r="E338" s="149"/>
      <c r="F338" s="149"/>
      <c r="G338" s="149"/>
      <c r="H338" s="149"/>
      <c r="I338" s="149"/>
      <c r="J338" s="149"/>
      <c r="K338" s="149"/>
      <c r="L338" s="149"/>
      <c r="M338" s="149"/>
      <c r="N338" s="149"/>
      <c r="O338" s="149"/>
      <c r="P338" s="149"/>
      <c r="Q338" s="149"/>
      <c r="R338" s="149"/>
      <c r="S338" s="149"/>
      <c r="W338" s="149"/>
      <c r="X338" s="149"/>
      <c r="Y338" s="149"/>
      <c r="Z338" s="149"/>
    </row>
    <row r="339" spans="1:26">
      <c r="A339" s="149"/>
      <c r="B339" s="149"/>
      <c r="C339" s="149"/>
      <c r="D339" s="149"/>
      <c r="E339" s="149"/>
      <c r="F339" s="149"/>
      <c r="G339" s="149"/>
      <c r="H339" s="149"/>
      <c r="I339" s="149"/>
      <c r="J339" s="149"/>
      <c r="K339" s="149"/>
      <c r="L339" s="149"/>
      <c r="M339" s="149"/>
      <c r="N339" s="149"/>
      <c r="O339" s="149"/>
      <c r="P339" s="149"/>
      <c r="Q339" s="149"/>
      <c r="R339" s="149"/>
      <c r="S339" s="149"/>
      <c r="W339" s="149"/>
      <c r="X339" s="149"/>
      <c r="Y339" s="149"/>
      <c r="Z339" s="149"/>
    </row>
    <row r="340" spans="1:26">
      <c r="A340" s="149"/>
      <c r="B340" s="149"/>
      <c r="C340" s="149"/>
      <c r="D340" s="149"/>
      <c r="E340" s="149"/>
      <c r="F340" s="149"/>
      <c r="G340" s="149"/>
      <c r="H340" s="149"/>
      <c r="I340" s="149"/>
      <c r="J340" s="149"/>
      <c r="K340" s="149"/>
      <c r="L340" s="149"/>
      <c r="M340" s="149"/>
      <c r="N340" s="149"/>
      <c r="O340" s="149"/>
      <c r="P340" s="149"/>
      <c r="Q340" s="149"/>
      <c r="R340" s="149"/>
      <c r="S340" s="149"/>
      <c r="W340" s="149"/>
      <c r="X340" s="149"/>
      <c r="Y340" s="149"/>
      <c r="Z340" s="149"/>
    </row>
    <row r="341" spans="1:26">
      <c r="A341" s="149"/>
      <c r="B341" s="149"/>
      <c r="C341" s="149"/>
      <c r="D341" s="149"/>
      <c r="E341" s="149"/>
      <c r="F341" s="149"/>
      <c r="G341" s="149"/>
      <c r="H341" s="149"/>
      <c r="I341" s="149"/>
      <c r="J341" s="149"/>
      <c r="K341" s="149"/>
      <c r="L341" s="149"/>
      <c r="M341" s="149"/>
      <c r="N341" s="149"/>
      <c r="O341" s="149"/>
      <c r="P341" s="149"/>
      <c r="Q341" s="149"/>
      <c r="R341" s="149"/>
      <c r="S341" s="149"/>
      <c r="W341" s="149"/>
      <c r="X341" s="149"/>
      <c r="Y341" s="149"/>
      <c r="Z341" s="149"/>
    </row>
    <row r="342" spans="1:26">
      <c r="A342" s="149"/>
      <c r="B342" s="149"/>
      <c r="C342" s="149"/>
      <c r="D342" s="149"/>
      <c r="E342" s="149"/>
      <c r="F342" s="149"/>
      <c r="G342" s="149"/>
      <c r="H342" s="149"/>
      <c r="I342" s="149"/>
      <c r="J342" s="149"/>
      <c r="K342" s="149"/>
      <c r="L342" s="149"/>
      <c r="M342" s="149"/>
      <c r="N342" s="149"/>
      <c r="O342" s="149"/>
      <c r="P342" s="149"/>
      <c r="Q342" s="149"/>
      <c r="R342" s="149"/>
      <c r="S342" s="149"/>
      <c r="W342" s="149"/>
      <c r="X342" s="149"/>
      <c r="Y342" s="149"/>
      <c r="Z342" s="149"/>
    </row>
    <row r="343" spans="1:26">
      <c r="A343" s="149"/>
      <c r="B343" s="149"/>
      <c r="C343" s="149"/>
      <c r="D343" s="149"/>
      <c r="E343" s="149"/>
      <c r="F343" s="149"/>
      <c r="G343" s="149"/>
      <c r="H343" s="149"/>
      <c r="I343" s="149"/>
      <c r="J343" s="149"/>
      <c r="K343" s="149"/>
      <c r="L343" s="149"/>
      <c r="M343" s="149"/>
      <c r="N343" s="149"/>
      <c r="O343" s="149"/>
      <c r="P343" s="149"/>
      <c r="Q343" s="149"/>
      <c r="R343" s="149"/>
      <c r="S343" s="149"/>
      <c r="W343" s="149"/>
      <c r="X343" s="149"/>
      <c r="Y343" s="149"/>
      <c r="Z343" s="149"/>
    </row>
    <row r="344" spans="1:26">
      <c r="A344" s="149"/>
      <c r="B344" s="149"/>
      <c r="C344" s="149"/>
      <c r="D344" s="149"/>
      <c r="E344" s="149"/>
      <c r="F344" s="149"/>
      <c r="G344" s="149"/>
      <c r="H344" s="149"/>
      <c r="I344" s="149"/>
      <c r="J344" s="149"/>
      <c r="K344" s="149"/>
      <c r="L344" s="149"/>
      <c r="M344" s="149"/>
      <c r="N344" s="149"/>
      <c r="O344" s="149"/>
      <c r="P344" s="149"/>
      <c r="Q344" s="149"/>
      <c r="R344" s="149"/>
      <c r="S344" s="149"/>
      <c r="W344" s="149"/>
      <c r="X344" s="149"/>
      <c r="Y344" s="149"/>
      <c r="Z344" s="149"/>
    </row>
    <row r="345" spans="1:26">
      <c r="A345" s="149"/>
      <c r="B345" s="149"/>
      <c r="C345" s="149"/>
      <c r="D345" s="149"/>
      <c r="E345" s="149"/>
      <c r="F345" s="149"/>
      <c r="G345" s="149"/>
      <c r="H345" s="149"/>
      <c r="I345" s="149"/>
      <c r="J345" s="149"/>
      <c r="K345" s="149"/>
      <c r="L345" s="149"/>
      <c r="M345" s="149"/>
      <c r="N345" s="149"/>
      <c r="O345" s="149"/>
      <c r="P345" s="149"/>
      <c r="Q345" s="149"/>
      <c r="R345" s="149"/>
      <c r="S345" s="149"/>
      <c r="W345" s="149"/>
      <c r="X345" s="149"/>
      <c r="Y345" s="149"/>
      <c r="Z345" s="149"/>
    </row>
    <row r="346" spans="1:26">
      <c r="A346" s="149"/>
      <c r="B346" s="149"/>
      <c r="C346" s="149"/>
      <c r="D346" s="149"/>
      <c r="E346" s="149"/>
      <c r="F346" s="149"/>
      <c r="G346" s="149"/>
      <c r="H346" s="149"/>
      <c r="I346" s="149"/>
      <c r="J346" s="149"/>
      <c r="K346" s="149"/>
      <c r="L346" s="149"/>
      <c r="M346" s="149"/>
      <c r="N346" s="149"/>
      <c r="O346" s="149"/>
      <c r="P346" s="149"/>
      <c r="Q346" s="149"/>
      <c r="R346" s="149"/>
      <c r="S346" s="149"/>
      <c r="W346" s="149"/>
      <c r="X346" s="149"/>
      <c r="Y346" s="149"/>
      <c r="Z346" s="149"/>
    </row>
    <row r="347" spans="1:26">
      <c r="A347" s="149"/>
      <c r="B347" s="149"/>
      <c r="C347" s="149"/>
      <c r="D347" s="149"/>
      <c r="E347" s="149"/>
      <c r="F347" s="149"/>
      <c r="G347" s="149"/>
      <c r="H347" s="149"/>
      <c r="I347" s="149"/>
      <c r="J347" s="149"/>
      <c r="K347" s="149"/>
      <c r="L347" s="149"/>
      <c r="M347" s="149"/>
      <c r="N347" s="149"/>
      <c r="O347" s="149"/>
      <c r="P347" s="149"/>
      <c r="Q347" s="149"/>
      <c r="R347" s="149"/>
      <c r="S347" s="149"/>
      <c r="W347" s="149"/>
      <c r="X347" s="149"/>
      <c r="Y347" s="149"/>
      <c r="Z347" s="149"/>
    </row>
    <row r="348" spans="1:26">
      <c r="A348" s="149"/>
      <c r="B348" s="149"/>
      <c r="C348" s="149"/>
      <c r="D348" s="149"/>
      <c r="E348" s="149"/>
      <c r="F348" s="149"/>
      <c r="G348" s="149"/>
      <c r="H348" s="149"/>
      <c r="I348" s="149"/>
      <c r="J348" s="149"/>
      <c r="K348" s="149"/>
      <c r="L348" s="149"/>
      <c r="M348" s="149"/>
      <c r="N348" s="149"/>
      <c r="O348" s="149"/>
      <c r="P348" s="149"/>
      <c r="Q348" s="149"/>
      <c r="R348" s="149"/>
      <c r="S348" s="149"/>
      <c r="W348" s="149"/>
      <c r="X348" s="149"/>
      <c r="Y348" s="149"/>
      <c r="Z348" s="149"/>
    </row>
    <row r="349" spans="1:26">
      <c r="A349" s="149"/>
      <c r="B349" s="149"/>
      <c r="C349" s="149"/>
      <c r="D349" s="149"/>
      <c r="E349" s="149"/>
      <c r="F349" s="149"/>
      <c r="G349" s="149"/>
      <c r="H349" s="149"/>
      <c r="I349" s="149"/>
      <c r="J349" s="149"/>
      <c r="K349" s="149"/>
      <c r="L349" s="149"/>
      <c r="M349" s="149"/>
      <c r="N349" s="149"/>
      <c r="O349" s="149"/>
      <c r="P349" s="149"/>
      <c r="Q349" s="149"/>
      <c r="R349" s="149"/>
      <c r="S349" s="149"/>
      <c r="W349" s="149"/>
      <c r="X349" s="149"/>
      <c r="Y349" s="149"/>
      <c r="Z349" s="149"/>
    </row>
    <row r="350" spans="1:26">
      <c r="A350" s="149"/>
      <c r="B350" s="149"/>
      <c r="C350" s="149"/>
      <c r="D350" s="149"/>
      <c r="E350" s="149"/>
      <c r="F350" s="149"/>
      <c r="G350" s="149"/>
      <c r="H350" s="149"/>
      <c r="I350" s="149"/>
      <c r="J350" s="149"/>
      <c r="K350" s="149"/>
      <c r="L350" s="149"/>
      <c r="M350" s="149"/>
      <c r="N350" s="149"/>
      <c r="O350" s="149"/>
      <c r="P350" s="149"/>
      <c r="Q350" s="149"/>
      <c r="R350" s="149"/>
      <c r="S350" s="149"/>
      <c r="W350" s="149"/>
      <c r="X350" s="149"/>
      <c r="Y350" s="149"/>
      <c r="Z350" s="149"/>
    </row>
    <row r="351" spans="1:26">
      <c r="A351" s="149"/>
      <c r="B351" s="149"/>
      <c r="C351" s="149"/>
      <c r="D351" s="149"/>
      <c r="E351" s="149"/>
      <c r="F351" s="149"/>
      <c r="G351" s="149"/>
      <c r="H351" s="149"/>
      <c r="I351" s="149"/>
      <c r="J351" s="149"/>
      <c r="K351" s="149"/>
      <c r="L351" s="149"/>
      <c r="M351" s="149"/>
      <c r="N351" s="149"/>
      <c r="O351" s="149"/>
      <c r="P351" s="149"/>
      <c r="Q351" s="149"/>
      <c r="R351" s="149"/>
      <c r="S351" s="149"/>
      <c r="W351" s="149"/>
      <c r="X351" s="149"/>
      <c r="Y351" s="149"/>
      <c r="Z351" s="149"/>
    </row>
    <row r="352" spans="1:26">
      <c r="A352" s="149"/>
      <c r="B352" s="149"/>
      <c r="C352" s="149"/>
      <c r="D352" s="149"/>
      <c r="E352" s="149"/>
      <c r="F352" s="149"/>
      <c r="G352" s="149"/>
      <c r="H352" s="149"/>
      <c r="I352" s="149"/>
      <c r="J352" s="149"/>
      <c r="K352" s="149"/>
      <c r="L352" s="149"/>
      <c r="M352" s="149"/>
      <c r="N352" s="149"/>
      <c r="O352" s="149"/>
      <c r="P352" s="149"/>
      <c r="Q352" s="149"/>
      <c r="R352" s="149"/>
      <c r="S352" s="149"/>
      <c r="W352" s="149"/>
      <c r="X352" s="149"/>
      <c r="Y352" s="149"/>
      <c r="Z352" s="149"/>
    </row>
    <row r="353" spans="1:26">
      <c r="A353" s="149"/>
      <c r="B353" s="149"/>
      <c r="C353" s="149"/>
      <c r="D353" s="149"/>
      <c r="E353" s="149"/>
      <c r="F353" s="149"/>
      <c r="G353" s="149"/>
      <c r="H353" s="149"/>
      <c r="I353" s="149"/>
      <c r="J353" s="149"/>
      <c r="K353" s="149"/>
      <c r="L353" s="149"/>
      <c r="M353" s="149"/>
      <c r="N353" s="149"/>
      <c r="O353" s="149"/>
      <c r="P353" s="149"/>
      <c r="Q353" s="149"/>
      <c r="R353" s="149"/>
      <c r="S353" s="149"/>
      <c r="W353" s="149"/>
      <c r="X353" s="149"/>
      <c r="Y353" s="149"/>
      <c r="Z353" s="149"/>
    </row>
    <row r="354" spans="1:26">
      <c r="A354" s="149"/>
      <c r="B354" s="149"/>
      <c r="C354" s="149"/>
      <c r="D354" s="149"/>
      <c r="E354" s="149"/>
      <c r="F354" s="149"/>
      <c r="G354" s="149"/>
      <c r="H354" s="149"/>
      <c r="I354" s="149"/>
      <c r="J354" s="149"/>
      <c r="K354" s="149"/>
      <c r="L354" s="149"/>
      <c r="M354" s="149"/>
      <c r="N354" s="149"/>
      <c r="O354" s="149"/>
      <c r="P354" s="149"/>
      <c r="Q354" s="149"/>
      <c r="R354" s="149"/>
      <c r="S354" s="149"/>
      <c r="W354" s="149"/>
      <c r="X354" s="149"/>
      <c r="Y354" s="149"/>
      <c r="Z354" s="149"/>
    </row>
    <row r="355" spans="1:26">
      <c r="A355" s="149"/>
      <c r="B355" s="149"/>
      <c r="C355" s="149"/>
      <c r="D355" s="149"/>
      <c r="E355" s="149"/>
      <c r="F355" s="149"/>
      <c r="G355" s="149"/>
      <c r="H355" s="149"/>
      <c r="I355" s="149"/>
      <c r="J355" s="149"/>
      <c r="K355" s="149"/>
      <c r="L355" s="149"/>
      <c r="M355" s="149"/>
      <c r="N355" s="149"/>
      <c r="O355" s="149"/>
      <c r="P355" s="149"/>
      <c r="Q355" s="149"/>
      <c r="R355" s="149"/>
      <c r="S355" s="149"/>
      <c r="W355" s="149"/>
      <c r="X355" s="149"/>
      <c r="Y355" s="149"/>
      <c r="Z355" s="149"/>
    </row>
    <row r="356" spans="1:26">
      <c r="A356" s="149"/>
      <c r="B356" s="149"/>
      <c r="C356" s="149"/>
      <c r="D356" s="149"/>
      <c r="E356" s="149"/>
      <c r="F356" s="149"/>
      <c r="G356" s="149"/>
      <c r="H356" s="149"/>
      <c r="I356" s="149"/>
      <c r="J356" s="149"/>
      <c r="K356" s="149"/>
      <c r="L356" s="149"/>
      <c r="M356" s="149"/>
      <c r="N356" s="149"/>
      <c r="O356" s="149"/>
      <c r="P356" s="149"/>
      <c r="Q356" s="149"/>
      <c r="R356" s="149"/>
      <c r="S356" s="149"/>
      <c r="W356" s="149"/>
      <c r="X356" s="149"/>
      <c r="Y356" s="149"/>
      <c r="Z356" s="149"/>
    </row>
    <row r="357" spans="1:26">
      <c r="A357" s="149"/>
      <c r="B357" s="149"/>
      <c r="C357" s="149"/>
      <c r="D357" s="149"/>
      <c r="E357" s="149"/>
      <c r="F357" s="149"/>
      <c r="G357" s="149"/>
      <c r="H357" s="149"/>
      <c r="I357" s="149"/>
      <c r="J357" s="149"/>
      <c r="K357" s="149"/>
      <c r="L357" s="149"/>
      <c r="M357" s="149"/>
      <c r="N357" s="149"/>
      <c r="O357" s="149"/>
      <c r="P357" s="149"/>
      <c r="Q357" s="149"/>
      <c r="R357" s="149"/>
      <c r="S357" s="149"/>
      <c r="W357" s="149"/>
      <c r="X357" s="149"/>
      <c r="Y357" s="149"/>
      <c r="Z357" s="149"/>
    </row>
    <row r="358" spans="1:26">
      <c r="A358" s="149"/>
      <c r="B358" s="149"/>
      <c r="C358" s="149"/>
      <c r="D358" s="149"/>
      <c r="E358" s="149"/>
      <c r="F358" s="149"/>
      <c r="G358" s="149"/>
      <c r="H358" s="149"/>
      <c r="I358" s="149"/>
      <c r="J358" s="149"/>
      <c r="K358" s="149"/>
      <c r="L358" s="149"/>
      <c r="M358" s="149"/>
      <c r="N358" s="149"/>
      <c r="O358" s="149"/>
      <c r="P358" s="149"/>
      <c r="Q358" s="149"/>
      <c r="R358" s="149"/>
      <c r="S358" s="149"/>
      <c r="W358" s="149"/>
      <c r="X358" s="149"/>
      <c r="Y358" s="149"/>
      <c r="Z358" s="149"/>
    </row>
    <row r="359" spans="1:26">
      <c r="A359" s="149"/>
      <c r="B359" s="149"/>
      <c r="C359" s="149"/>
      <c r="D359" s="149"/>
      <c r="E359" s="149"/>
      <c r="F359" s="149"/>
      <c r="G359" s="149"/>
      <c r="H359" s="149"/>
      <c r="I359" s="149"/>
      <c r="J359" s="149"/>
      <c r="K359" s="149"/>
      <c r="L359" s="149"/>
      <c r="M359" s="149"/>
      <c r="N359" s="149"/>
      <c r="O359" s="149"/>
      <c r="P359" s="149"/>
      <c r="Q359" s="149"/>
      <c r="R359" s="149"/>
      <c r="S359" s="149"/>
      <c r="W359" s="149"/>
      <c r="X359" s="149"/>
      <c r="Y359" s="149"/>
      <c r="Z359" s="149"/>
    </row>
    <row r="360" spans="1:26">
      <c r="A360" s="149"/>
      <c r="B360" s="149"/>
      <c r="C360" s="149"/>
      <c r="D360" s="149"/>
      <c r="E360" s="149"/>
      <c r="F360" s="149"/>
      <c r="G360" s="149"/>
      <c r="H360" s="149"/>
      <c r="I360" s="149"/>
      <c r="J360" s="149"/>
      <c r="K360" s="149"/>
      <c r="L360" s="149"/>
      <c r="M360" s="149"/>
      <c r="N360" s="149"/>
      <c r="O360" s="149"/>
      <c r="P360" s="149"/>
      <c r="Q360" s="149"/>
      <c r="R360" s="149"/>
      <c r="S360" s="149"/>
      <c r="W360" s="149"/>
      <c r="X360" s="149"/>
      <c r="Y360" s="149"/>
      <c r="Z360" s="149"/>
    </row>
    <row r="361" spans="1:26">
      <c r="A361" s="149"/>
      <c r="B361" s="149"/>
      <c r="C361" s="149"/>
      <c r="D361" s="149"/>
      <c r="E361" s="149"/>
      <c r="F361" s="149"/>
      <c r="G361" s="149"/>
      <c r="H361" s="149"/>
      <c r="I361" s="149"/>
      <c r="J361" s="149"/>
      <c r="K361" s="149"/>
      <c r="L361" s="149"/>
      <c r="M361" s="149"/>
      <c r="N361" s="149"/>
      <c r="O361" s="149"/>
      <c r="P361" s="149"/>
      <c r="Q361" s="149"/>
      <c r="R361" s="149"/>
      <c r="S361" s="149"/>
      <c r="W361" s="149"/>
      <c r="X361" s="149"/>
      <c r="Y361" s="149"/>
      <c r="Z361" s="149"/>
    </row>
    <row r="362" spans="1:26">
      <c r="A362" s="149"/>
      <c r="B362" s="149"/>
      <c r="C362" s="149"/>
      <c r="D362" s="149"/>
      <c r="E362" s="149"/>
      <c r="F362" s="149"/>
      <c r="G362" s="149"/>
      <c r="H362" s="149"/>
      <c r="I362" s="149"/>
      <c r="J362" s="149"/>
      <c r="K362" s="149"/>
      <c r="L362" s="149"/>
      <c r="M362" s="149"/>
      <c r="N362" s="149"/>
      <c r="O362" s="149"/>
      <c r="P362" s="149"/>
      <c r="Q362" s="149"/>
      <c r="R362" s="149"/>
      <c r="S362" s="149"/>
      <c r="W362" s="149"/>
      <c r="X362" s="149"/>
      <c r="Y362" s="149"/>
      <c r="Z362" s="149"/>
    </row>
    <row r="363" spans="1:26">
      <c r="A363" s="149"/>
      <c r="B363" s="149"/>
      <c r="C363" s="149"/>
      <c r="D363" s="149"/>
      <c r="E363" s="149"/>
      <c r="F363" s="149"/>
      <c r="G363" s="149"/>
      <c r="H363" s="149"/>
      <c r="I363" s="149"/>
      <c r="J363" s="149"/>
      <c r="K363" s="149"/>
      <c r="L363" s="149"/>
      <c r="M363" s="149"/>
      <c r="N363" s="149"/>
      <c r="O363" s="149"/>
      <c r="P363" s="149"/>
      <c r="Q363" s="149"/>
      <c r="R363" s="149"/>
      <c r="S363" s="149"/>
      <c r="W363" s="149"/>
      <c r="X363" s="149"/>
      <c r="Y363" s="149"/>
      <c r="Z363" s="149"/>
    </row>
    <row r="364" spans="1:26">
      <c r="A364" s="149"/>
      <c r="B364" s="149"/>
      <c r="C364" s="149"/>
      <c r="D364" s="149"/>
      <c r="E364" s="149"/>
      <c r="F364" s="149"/>
      <c r="G364" s="149"/>
      <c r="H364" s="149"/>
      <c r="I364" s="149"/>
      <c r="J364" s="149"/>
      <c r="K364" s="149"/>
      <c r="L364" s="149"/>
      <c r="M364" s="149"/>
      <c r="N364" s="149"/>
      <c r="O364" s="149"/>
      <c r="P364" s="149"/>
      <c r="Q364" s="149"/>
      <c r="R364" s="149"/>
      <c r="S364" s="149"/>
      <c r="W364" s="149"/>
      <c r="X364" s="149"/>
      <c r="Y364" s="149"/>
      <c r="Z364" s="149"/>
    </row>
    <row r="365" spans="1:26">
      <c r="A365" s="149"/>
      <c r="B365" s="149"/>
      <c r="C365" s="149"/>
      <c r="D365" s="149"/>
      <c r="E365" s="149"/>
      <c r="F365" s="149"/>
      <c r="G365" s="149"/>
      <c r="H365" s="149"/>
      <c r="I365" s="149"/>
      <c r="J365" s="149"/>
      <c r="K365" s="149"/>
      <c r="L365" s="149"/>
      <c r="M365" s="149"/>
      <c r="N365" s="149"/>
      <c r="O365" s="149"/>
      <c r="P365" s="149"/>
      <c r="Q365" s="149"/>
      <c r="R365" s="149"/>
      <c r="S365" s="149"/>
      <c r="W365" s="149"/>
      <c r="X365" s="149"/>
      <c r="Y365" s="149"/>
      <c r="Z365" s="149"/>
    </row>
    <row r="366" spans="1:26">
      <c r="A366" s="149"/>
      <c r="B366" s="149"/>
      <c r="C366" s="149"/>
      <c r="D366" s="149"/>
      <c r="E366" s="149"/>
      <c r="F366" s="149"/>
      <c r="G366" s="149"/>
      <c r="H366" s="149"/>
      <c r="I366" s="149"/>
      <c r="J366" s="149"/>
      <c r="K366" s="149"/>
      <c r="L366" s="149"/>
      <c r="M366" s="149"/>
      <c r="N366" s="149"/>
      <c r="O366" s="149"/>
      <c r="P366" s="149"/>
      <c r="Q366" s="149"/>
      <c r="R366" s="149"/>
      <c r="S366" s="149"/>
      <c r="W366" s="149"/>
      <c r="X366" s="149"/>
      <c r="Y366" s="149"/>
      <c r="Z366" s="149"/>
    </row>
    <row r="367" spans="1:26">
      <c r="A367" s="149"/>
      <c r="B367" s="149"/>
      <c r="C367" s="149"/>
      <c r="D367" s="149"/>
      <c r="E367" s="149"/>
      <c r="F367" s="149"/>
      <c r="G367" s="149"/>
      <c r="H367" s="149"/>
      <c r="I367" s="149"/>
      <c r="J367" s="149"/>
      <c r="K367" s="149"/>
      <c r="L367" s="149"/>
      <c r="M367" s="149"/>
      <c r="N367" s="149"/>
      <c r="O367" s="149"/>
      <c r="P367" s="149"/>
      <c r="Q367" s="149"/>
      <c r="R367" s="149"/>
      <c r="S367" s="149"/>
      <c r="W367" s="149"/>
      <c r="X367" s="149"/>
      <c r="Y367" s="149"/>
      <c r="Z367" s="149"/>
    </row>
    <row r="368" spans="1:26">
      <c r="A368" s="149"/>
      <c r="B368" s="149"/>
      <c r="C368" s="149"/>
      <c r="D368" s="149"/>
      <c r="E368" s="149"/>
      <c r="F368" s="149"/>
      <c r="G368" s="149"/>
      <c r="H368" s="149"/>
      <c r="I368" s="149"/>
      <c r="J368" s="149"/>
      <c r="K368" s="149"/>
      <c r="L368" s="149"/>
      <c r="M368" s="149"/>
      <c r="N368" s="149"/>
      <c r="O368" s="149"/>
      <c r="P368" s="149"/>
      <c r="Q368" s="149"/>
      <c r="R368" s="149"/>
      <c r="S368" s="149"/>
      <c r="W368" s="149"/>
      <c r="X368" s="149"/>
      <c r="Y368" s="149"/>
      <c r="Z368" s="149"/>
    </row>
    <row r="369" spans="1:26">
      <c r="A369" s="149"/>
      <c r="B369" s="149"/>
      <c r="C369" s="149"/>
      <c r="D369" s="149"/>
      <c r="E369" s="149"/>
      <c r="F369" s="149"/>
      <c r="G369" s="149"/>
      <c r="H369" s="149"/>
      <c r="I369" s="149"/>
      <c r="J369" s="149"/>
      <c r="K369" s="149"/>
      <c r="L369" s="149"/>
      <c r="M369" s="149"/>
      <c r="N369" s="149"/>
      <c r="O369" s="149"/>
      <c r="P369" s="149"/>
      <c r="Q369" s="149"/>
      <c r="R369" s="149"/>
      <c r="S369" s="149"/>
      <c r="W369" s="149"/>
      <c r="X369" s="149"/>
      <c r="Y369" s="149"/>
      <c r="Z369" s="149"/>
    </row>
    <row r="370" spans="1:26">
      <c r="A370" s="149"/>
      <c r="B370" s="149"/>
      <c r="C370" s="149"/>
      <c r="D370" s="149"/>
      <c r="E370" s="149"/>
      <c r="F370" s="149"/>
      <c r="G370" s="149"/>
      <c r="H370" s="149"/>
      <c r="I370" s="149"/>
      <c r="J370" s="149"/>
      <c r="K370" s="149"/>
      <c r="L370" s="149"/>
      <c r="M370" s="149"/>
      <c r="N370" s="149"/>
      <c r="O370" s="149"/>
      <c r="P370" s="149"/>
      <c r="Q370" s="149"/>
      <c r="R370" s="149"/>
      <c r="S370" s="149"/>
      <c r="W370" s="149"/>
      <c r="X370" s="149"/>
      <c r="Y370" s="149"/>
      <c r="Z370" s="149"/>
    </row>
    <row r="371" spans="1:26">
      <c r="A371" s="149"/>
      <c r="B371" s="149"/>
      <c r="C371" s="149"/>
      <c r="D371" s="149"/>
      <c r="E371" s="149"/>
      <c r="F371" s="149"/>
      <c r="G371" s="149"/>
      <c r="H371" s="149"/>
      <c r="I371" s="149"/>
      <c r="J371" s="149"/>
      <c r="K371" s="149"/>
      <c r="L371" s="149"/>
      <c r="M371" s="149"/>
      <c r="N371" s="149"/>
      <c r="O371" s="149"/>
      <c r="P371" s="149"/>
      <c r="Q371" s="149"/>
      <c r="R371" s="149"/>
      <c r="S371" s="149"/>
      <c r="W371" s="149"/>
      <c r="X371" s="149"/>
      <c r="Y371" s="149"/>
      <c r="Z371" s="149"/>
    </row>
    <row r="372" spans="1:26">
      <c r="A372" s="149"/>
      <c r="B372" s="149"/>
      <c r="C372" s="149"/>
      <c r="D372" s="149"/>
      <c r="E372" s="149"/>
      <c r="F372" s="149"/>
      <c r="G372" s="149"/>
      <c r="H372" s="149"/>
      <c r="I372" s="149"/>
      <c r="J372" s="149"/>
      <c r="K372" s="149"/>
      <c r="L372" s="149"/>
      <c r="M372" s="149"/>
      <c r="N372" s="149"/>
      <c r="O372" s="149"/>
      <c r="P372" s="149"/>
      <c r="Q372" s="149"/>
      <c r="R372" s="149"/>
      <c r="S372" s="149"/>
      <c r="W372" s="149"/>
      <c r="X372" s="149"/>
      <c r="Y372" s="149"/>
      <c r="Z372" s="149"/>
    </row>
    <row r="373" spans="1:26">
      <c r="A373" s="149"/>
      <c r="B373" s="149"/>
      <c r="C373" s="149"/>
      <c r="D373" s="149"/>
      <c r="E373" s="149"/>
      <c r="F373" s="149"/>
      <c r="G373" s="149"/>
      <c r="H373" s="149"/>
      <c r="I373" s="149"/>
      <c r="J373" s="149"/>
      <c r="K373" s="149"/>
      <c r="L373" s="149"/>
      <c r="M373" s="149"/>
      <c r="N373" s="149"/>
      <c r="O373" s="149"/>
      <c r="P373" s="149"/>
      <c r="Q373" s="149"/>
      <c r="R373" s="149"/>
      <c r="S373" s="149"/>
      <c r="W373" s="149"/>
      <c r="X373" s="149"/>
      <c r="Y373" s="149"/>
      <c r="Z373" s="149"/>
    </row>
    <row r="374" spans="1:26">
      <c r="A374" s="149"/>
      <c r="B374" s="149"/>
      <c r="C374" s="149"/>
      <c r="D374" s="149"/>
      <c r="E374" s="149"/>
      <c r="F374" s="149"/>
      <c r="G374" s="149"/>
      <c r="H374" s="149"/>
      <c r="I374" s="149"/>
      <c r="J374" s="149"/>
      <c r="K374" s="149"/>
      <c r="L374" s="149"/>
      <c r="M374" s="149"/>
      <c r="N374" s="149"/>
      <c r="O374" s="149"/>
      <c r="P374" s="149"/>
      <c r="Q374" s="149"/>
      <c r="R374" s="149"/>
      <c r="S374" s="149"/>
      <c r="W374" s="149"/>
      <c r="X374" s="149"/>
      <c r="Y374" s="149"/>
      <c r="Z374" s="149"/>
    </row>
    <row r="375" spans="1:26">
      <c r="A375" s="149"/>
      <c r="B375" s="149"/>
      <c r="C375" s="149"/>
      <c r="D375" s="149"/>
      <c r="E375" s="149"/>
      <c r="F375" s="149"/>
      <c r="G375" s="149"/>
      <c r="H375" s="149"/>
      <c r="I375" s="149"/>
      <c r="J375" s="149"/>
      <c r="K375" s="149"/>
      <c r="L375" s="149"/>
      <c r="M375" s="149"/>
      <c r="N375" s="149"/>
      <c r="O375" s="149"/>
      <c r="P375" s="149"/>
      <c r="Q375" s="149"/>
      <c r="R375" s="149"/>
      <c r="S375" s="149"/>
      <c r="W375" s="149"/>
      <c r="X375" s="149"/>
      <c r="Y375" s="149"/>
      <c r="Z375" s="149"/>
    </row>
    <row r="376" spans="1:26">
      <c r="A376" s="149"/>
      <c r="B376" s="149"/>
      <c r="C376" s="149"/>
      <c r="D376" s="149"/>
      <c r="E376" s="149"/>
      <c r="F376" s="149"/>
      <c r="G376" s="149"/>
      <c r="H376" s="149"/>
      <c r="I376" s="149"/>
      <c r="J376" s="149"/>
      <c r="K376" s="149"/>
      <c r="L376" s="149"/>
      <c r="M376" s="149"/>
      <c r="N376" s="149"/>
      <c r="O376" s="149"/>
      <c r="P376" s="149"/>
      <c r="Q376" s="149"/>
      <c r="R376" s="149"/>
      <c r="S376" s="149"/>
      <c r="W376" s="149"/>
      <c r="X376" s="149"/>
      <c r="Y376" s="149"/>
      <c r="Z376" s="149"/>
    </row>
    <row r="377" spans="1:26">
      <c r="A377" s="149"/>
      <c r="B377" s="149"/>
      <c r="C377" s="149"/>
      <c r="D377" s="149"/>
      <c r="E377" s="149"/>
      <c r="F377" s="149"/>
      <c r="G377" s="149"/>
      <c r="H377" s="149"/>
      <c r="I377" s="149"/>
      <c r="J377" s="149"/>
      <c r="K377" s="149"/>
      <c r="L377" s="149"/>
      <c r="M377" s="149"/>
      <c r="N377" s="149"/>
      <c r="O377" s="149"/>
      <c r="P377" s="149"/>
      <c r="Q377" s="149"/>
      <c r="R377" s="149"/>
      <c r="S377" s="149"/>
      <c r="W377" s="149"/>
      <c r="X377" s="149"/>
      <c r="Y377" s="149"/>
      <c r="Z377" s="149"/>
    </row>
    <row r="378" spans="1:26">
      <c r="A378" s="149"/>
      <c r="B378" s="149"/>
      <c r="C378" s="149"/>
      <c r="D378" s="149"/>
      <c r="E378" s="149"/>
      <c r="F378" s="149"/>
      <c r="G378" s="149"/>
      <c r="H378" s="149"/>
      <c r="I378" s="149"/>
      <c r="J378" s="149"/>
      <c r="K378" s="149"/>
      <c r="L378" s="149"/>
      <c r="M378" s="149"/>
      <c r="N378" s="149"/>
      <c r="O378" s="149"/>
      <c r="P378" s="149"/>
      <c r="Q378" s="149"/>
      <c r="R378" s="149"/>
      <c r="S378" s="149"/>
      <c r="W378" s="149"/>
      <c r="X378" s="149"/>
      <c r="Y378" s="149"/>
      <c r="Z378" s="149"/>
    </row>
    <row r="379" spans="1:26">
      <c r="A379" s="149"/>
      <c r="B379" s="149"/>
      <c r="C379" s="149"/>
      <c r="D379" s="149"/>
      <c r="E379" s="149"/>
      <c r="F379" s="149"/>
      <c r="G379" s="149"/>
      <c r="H379" s="149"/>
      <c r="I379" s="149"/>
      <c r="J379" s="149"/>
      <c r="K379" s="149"/>
      <c r="L379" s="149"/>
      <c r="M379" s="149"/>
      <c r="N379" s="149"/>
      <c r="O379" s="149"/>
      <c r="P379" s="149"/>
      <c r="Q379" s="149"/>
      <c r="R379" s="149"/>
      <c r="S379" s="149"/>
      <c r="W379" s="149"/>
      <c r="X379" s="149"/>
      <c r="Y379" s="149"/>
      <c r="Z379" s="149"/>
    </row>
    <row r="380" spans="1:26">
      <c r="A380" s="149"/>
      <c r="B380" s="149"/>
      <c r="C380" s="149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W380" s="149"/>
      <c r="X380" s="149"/>
      <c r="Y380" s="149"/>
      <c r="Z380" s="149"/>
    </row>
    <row r="381" spans="1:26">
      <c r="A381" s="149"/>
      <c r="B381" s="149"/>
      <c r="C381" s="149"/>
      <c r="D381" s="149"/>
      <c r="E381" s="149"/>
      <c r="F381" s="149"/>
      <c r="G381" s="149"/>
      <c r="H381" s="149"/>
      <c r="I381" s="149"/>
      <c r="J381" s="149"/>
      <c r="K381" s="149"/>
      <c r="L381" s="149"/>
      <c r="M381" s="149"/>
      <c r="N381" s="149"/>
      <c r="O381" s="149"/>
      <c r="P381" s="149"/>
      <c r="Q381" s="149"/>
      <c r="R381" s="149"/>
      <c r="S381" s="149"/>
      <c r="W381" s="149"/>
      <c r="X381" s="149"/>
      <c r="Y381" s="149"/>
      <c r="Z381" s="149"/>
    </row>
    <row r="382" spans="1:26">
      <c r="A382" s="149"/>
      <c r="B382" s="149"/>
      <c r="C382" s="149"/>
      <c r="D382" s="149"/>
      <c r="E382" s="149"/>
      <c r="F382" s="149"/>
      <c r="G382" s="149"/>
      <c r="H382" s="149"/>
      <c r="I382" s="149"/>
      <c r="J382" s="149"/>
      <c r="K382" s="149"/>
      <c r="L382" s="149"/>
      <c r="M382" s="149"/>
      <c r="N382" s="149"/>
      <c r="O382" s="149"/>
      <c r="P382" s="149"/>
      <c r="Q382" s="149"/>
      <c r="R382" s="149"/>
      <c r="S382" s="149"/>
      <c r="W382" s="149"/>
      <c r="X382" s="149"/>
      <c r="Y382" s="149"/>
      <c r="Z382" s="149"/>
    </row>
    <row r="383" spans="1:26">
      <c r="A383" s="149"/>
      <c r="B383" s="149"/>
      <c r="C383" s="149"/>
      <c r="D383" s="149"/>
      <c r="E383" s="149"/>
      <c r="F383" s="149"/>
      <c r="G383" s="149"/>
      <c r="H383" s="149"/>
      <c r="I383" s="149"/>
      <c r="J383" s="149"/>
      <c r="K383" s="149"/>
      <c r="L383" s="149"/>
      <c r="M383" s="149"/>
      <c r="N383" s="149"/>
      <c r="O383" s="149"/>
      <c r="P383" s="149"/>
      <c r="Q383" s="149"/>
      <c r="R383" s="149"/>
      <c r="S383" s="149"/>
      <c r="W383" s="149"/>
      <c r="X383" s="149"/>
      <c r="Y383" s="149"/>
      <c r="Z383" s="149"/>
    </row>
    <row r="384" spans="1:26">
      <c r="A384" s="149"/>
      <c r="B384" s="149"/>
      <c r="C384" s="149"/>
      <c r="D384" s="149"/>
      <c r="E384" s="149"/>
      <c r="F384" s="149"/>
      <c r="G384" s="149"/>
      <c r="H384" s="149"/>
      <c r="I384" s="149"/>
      <c r="J384" s="149"/>
      <c r="K384" s="149"/>
      <c r="L384" s="149"/>
      <c r="M384" s="149"/>
      <c r="N384" s="149"/>
      <c r="O384" s="149"/>
      <c r="P384" s="149"/>
      <c r="Q384" s="149"/>
      <c r="R384" s="149"/>
      <c r="S384" s="149"/>
      <c r="W384" s="149"/>
      <c r="X384" s="149"/>
      <c r="Y384" s="149"/>
      <c r="Z384" s="149"/>
    </row>
    <row r="385" spans="1:26">
      <c r="A385" s="149"/>
      <c r="B385" s="149"/>
      <c r="C385" s="149"/>
      <c r="D385" s="149"/>
      <c r="E385" s="149"/>
      <c r="F385" s="149"/>
      <c r="G385" s="149"/>
      <c r="H385" s="149"/>
      <c r="I385" s="149"/>
      <c r="J385" s="149"/>
      <c r="K385" s="149"/>
      <c r="L385" s="149"/>
      <c r="M385" s="149"/>
      <c r="N385" s="149"/>
      <c r="O385" s="149"/>
      <c r="P385" s="149"/>
      <c r="Q385" s="149"/>
      <c r="R385" s="149"/>
      <c r="S385" s="149"/>
      <c r="W385" s="149"/>
      <c r="X385" s="149"/>
      <c r="Y385" s="149"/>
      <c r="Z385" s="149"/>
    </row>
    <row r="386" spans="1:26">
      <c r="A386" s="149"/>
      <c r="B386" s="149"/>
      <c r="C386" s="149"/>
      <c r="D386" s="149"/>
      <c r="E386" s="149"/>
      <c r="F386" s="149"/>
      <c r="G386" s="149"/>
      <c r="H386" s="149"/>
      <c r="I386" s="149"/>
      <c r="J386" s="149"/>
      <c r="K386" s="149"/>
      <c r="L386" s="149"/>
      <c r="M386" s="149"/>
      <c r="N386" s="149"/>
      <c r="O386" s="149"/>
      <c r="P386" s="149"/>
      <c r="Q386" s="149"/>
      <c r="R386" s="149"/>
      <c r="S386" s="149"/>
      <c r="W386" s="149"/>
      <c r="X386" s="149"/>
      <c r="Y386" s="149"/>
      <c r="Z386" s="149"/>
    </row>
    <row r="387" spans="1:26">
      <c r="A387" s="149"/>
      <c r="B387" s="149"/>
      <c r="C387" s="149"/>
      <c r="D387" s="149"/>
      <c r="E387" s="149"/>
      <c r="F387" s="149"/>
      <c r="G387" s="149"/>
      <c r="H387" s="149"/>
      <c r="I387" s="149"/>
      <c r="J387" s="149"/>
      <c r="K387" s="149"/>
      <c r="L387" s="149"/>
      <c r="M387" s="149"/>
      <c r="N387" s="149"/>
      <c r="O387" s="149"/>
      <c r="P387" s="149"/>
      <c r="Q387" s="149"/>
      <c r="R387" s="149"/>
      <c r="S387" s="149"/>
      <c r="W387" s="149"/>
      <c r="X387" s="149"/>
      <c r="Y387" s="149"/>
      <c r="Z387" s="149"/>
    </row>
    <row r="388" spans="1:26">
      <c r="A388" s="149"/>
      <c r="B388" s="149"/>
      <c r="C388" s="149"/>
      <c r="D388" s="149"/>
      <c r="E388" s="149"/>
      <c r="F388" s="149"/>
      <c r="G388" s="149"/>
      <c r="H388" s="149"/>
      <c r="I388" s="149"/>
      <c r="J388" s="149"/>
      <c r="K388" s="149"/>
      <c r="L388" s="149"/>
      <c r="M388" s="149"/>
      <c r="N388" s="149"/>
      <c r="O388" s="149"/>
      <c r="P388" s="149"/>
      <c r="Q388" s="149"/>
      <c r="R388" s="149"/>
      <c r="S388" s="149"/>
      <c r="W388" s="149"/>
      <c r="X388" s="149"/>
      <c r="Y388" s="149"/>
      <c r="Z388" s="149"/>
    </row>
    <row r="389" spans="1:26">
      <c r="A389" s="149"/>
      <c r="B389" s="149"/>
      <c r="C389" s="149"/>
      <c r="D389" s="149"/>
      <c r="E389" s="149"/>
      <c r="F389" s="149"/>
      <c r="G389" s="149"/>
      <c r="H389" s="149"/>
      <c r="I389" s="149"/>
      <c r="J389" s="149"/>
      <c r="K389" s="149"/>
      <c r="L389" s="149"/>
      <c r="M389" s="149"/>
      <c r="N389" s="149"/>
      <c r="O389" s="149"/>
      <c r="P389" s="149"/>
      <c r="Q389" s="149"/>
      <c r="R389" s="149"/>
      <c r="S389" s="149"/>
      <c r="W389" s="149"/>
      <c r="X389" s="149"/>
      <c r="Y389" s="149"/>
      <c r="Z389" s="149"/>
    </row>
    <row r="390" spans="1:26">
      <c r="A390" s="149"/>
      <c r="B390" s="149"/>
      <c r="C390" s="149"/>
      <c r="D390" s="149"/>
      <c r="E390" s="149"/>
      <c r="F390" s="149"/>
      <c r="G390" s="149"/>
      <c r="H390" s="149"/>
      <c r="I390" s="149"/>
      <c r="J390" s="149"/>
      <c r="K390" s="149"/>
      <c r="L390" s="149"/>
      <c r="M390" s="149"/>
      <c r="N390" s="149"/>
      <c r="O390" s="149"/>
      <c r="P390" s="149"/>
      <c r="Q390" s="149"/>
      <c r="R390" s="149"/>
      <c r="S390" s="149"/>
      <c r="W390" s="149"/>
      <c r="X390" s="149"/>
      <c r="Y390" s="149"/>
      <c r="Z390" s="149"/>
    </row>
    <row r="391" spans="1:26">
      <c r="A391" s="149"/>
      <c r="B391" s="149"/>
      <c r="C391" s="149"/>
      <c r="D391" s="149"/>
      <c r="E391" s="149"/>
      <c r="F391" s="149"/>
      <c r="G391" s="149"/>
      <c r="H391" s="149"/>
      <c r="I391" s="149"/>
      <c r="J391" s="149"/>
      <c r="K391" s="149"/>
      <c r="L391" s="149"/>
      <c r="M391" s="149"/>
      <c r="N391" s="149"/>
      <c r="O391" s="149"/>
      <c r="P391" s="149"/>
      <c r="Q391" s="149"/>
      <c r="R391" s="149"/>
      <c r="S391" s="149"/>
      <c r="W391" s="149"/>
      <c r="X391" s="149"/>
      <c r="Y391" s="149"/>
      <c r="Z391" s="149"/>
    </row>
    <row r="392" spans="1:26">
      <c r="A392" s="149"/>
      <c r="B392" s="149"/>
      <c r="C392" s="149"/>
      <c r="D392" s="149"/>
      <c r="E392" s="149"/>
      <c r="F392" s="149"/>
      <c r="G392" s="149"/>
      <c r="H392" s="149"/>
      <c r="I392" s="149"/>
      <c r="J392" s="149"/>
      <c r="K392" s="149"/>
      <c r="L392" s="149"/>
      <c r="M392" s="149"/>
      <c r="N392" s="149"/>
      <c r="O392" s="149"/>
      <c r="P392" s="149"/>
      <c r="Q392" s="149"/>
      <c r="R392" s="149"/>
      <c r="S392" s="149"/>
      <c r="W392" s="149"/>
      <c r="X392" s="149"/>
      <c r="Y392" s="149"/>
      <c r="Z392" s="149"/>
    </row>
    <row r="393" spans="1:26">
      <c r="A393" s="149"/>
      <c r="B393" s="149"/>
      <c r="C393" s="149"/>
      <c r="D393" s="149"/>
      <c r="E393" s="149"/>
      <c r="F393" s="149"/>
      <c r="G393" s="149"/>
      <c r="H393" s="149"/>
      <c r="I393" s="149"/>
      <c r="J393" s="149"/>
      <c r="K393" s="149"/>
      <c r="L393" s="149"/>
      <c r="M393" s="149"/>
      <c r="N393" s="149"/>
      <c r="O393" s="149"/>
      <c r="P393" s="149"/>
      <c r="Q393" s="149"/>
      <c r="R393" s="149"/>
      <c r="S393" s="149"/>
      <c r="W393" s="149"/>
      <c r="X393" s="149"/>
      <c r="Y393" s="149"/>
      <c r="Z393" s="149"/>
    </row>
    <row r="394" spans="1:26">
      <c r="A394" s="149"/>
      <c r="B394" s="149"/>
      <c r="C394" s="149"/>
      <c r="D394" s="149"/>
      <c r="E394" s="149"/>
      <c r="F394" s="149"/>
      <c r="G394" s="149"/>
      <c r="H394" s="149"/>
      <c r="I394" s="149"/>
      <c r="J394" s="149"/>
      <c r="K394" s="149"/>
      <c r="L394" s="149"/>
      <c r="M394" s="149"/>
      <c r="N394" s="149"/>
      <c r="O394" s="149"/>
      <c r="P394" s="149"/>
      <c r="Q394" s="149"/>
      <c r="R394" s="149"/>
      <c r="S394" s="149"/>
      <c r="W394" s="149"/>
      <c r="X394" s="149"/>
      <c r="Y394" s="149"/>
      <c r="Z394" s="149"/>
    </row>
    <row r="395" spans="1:26">
      <c r="A395" s="149"/>
      <c r="B395" s="149"/>
      <c r="C395" s="149"/>
      <c r="D395" s="149"/>
      <c r="E395" s="149"/>
      <c r="F395" s="149"/>
      <c r="G395" s="149"/>
      <c r="H395" s="149"/>
      <c r="I395" s="149"/>
      <c r="J395" s="149"/>
      <c r="K395" s="149"/>
      <c r="L395" s="149"/>
      <c r="M395" s="149"/>
      <c r="N395" s="149"/>
      <c r="O395" s="149"/>
      <c r="P395" s="149"/>
      <c r="Q395" s="149"/>
      <c r="R395" s="149"/>
      <c r="S395" s="149"/>
      <c r="W395" s="149"/>
      <c r="X395" s="149"/>
      <c r="Y395" s="149"/>
      <c r="Z395" s="149"/>
    </row>
    <row r="396" spans="1:26">
      <c r="A396" s="149"/>
      <c r="B396" s="149"/>
      <c r="C396" s="149"/>
      <c r="D396" s="149"/>
      <c r="E396" s="149"/>
      <c r="F396" s="149"/>
      <c r="G396" s="149"/>
      <c r="H396" s="149"/>
      <c r="I396" s="149"/>
      <c r="J396" s="149"/>
      <c r="K396" s="149"/>
      <c r="L396" s="149"/>
      <c r="M396" s="149"/>
      <c r="N396" s="149"/>
      <c r="O396" s="149"/>
      <c r="P396" s="149"/>
      <c r="Q396" s="149"/>
      <c r="R396" s="149"/>
      <c r="S396" s="149"/>
      <c r="W396" s="149"/>
      <c r="X396" s="149"/>
      <c r="Y396" s="149"/>
      <c r="Z396" s="149"/>
    </row>
    <row r="397" spans="1:26">
      <c r="A397" s="149"/>
      <c r="B397" s="149"/>
      <c r="C397" s="149"/>
      <c r="D397" s="149"/>
      <c r="E397" s="149"/>
      <c r="F397" s="149"/>
      <c r="G397" s="149"/>
      <c r="H397" s="149"/>
      <c r="I397" s="149"/>
      <c r="J397" s="149"/>
      <c r="K397" s="149"/>
      <c r="L397" s="149"/>
      <c r="M397" s="149"/>
      <c r="N397" s="149"/>
      <c r="O397" s="149"/>
      <c r="P397" s="149"/>
      <c r="Q397" s="149"/>
      <c r="R397" s="149"/>
      <c r="S397" s="149"/>
      <c r="W397" s="149"/>
      <c r="X397" s="149"/>
      <c r="Y397" s="149"/>
      <c r="Z397" s="149"/>
    </row>
    <row r="398" spans="1:26">
      <c r="A398" s="149"/>
      <c r="B398" s="149"/>
      <c r="C398" s="149"/>
      <c r="D398" s="149"/>
      <c r="E398" s="149"/>
      <c r="F398" s="149"/>
      <c r="G398" s="149"/>
      <c r="H398" s="149"/>
      <c r="I398" s="149"/>
      <c r="J398" s="149"/>
      <c r="K398" s="149"/>
      <c r="L398" s="149"/>
      <c r="M398" s="149"/>
      <c r="N398" s="149"/>
      <c r="O398" s="149"/>
      <c r="P398" s="149"/>
      <c r="Q398" s="149"/>
      <c r="R398" s="149"/>
      <c r="S398" s="149"/>
      <c r="W398" s="149"/>
      <c r="X398" s="149"/>
      <c r="Y398" s="149"/>
      <c r="Z398" s="149"/>
    </row>
    <row r="399" spans="1:26">
      <c r="A399" s="149"/>
      <c r="B399" s="149"/>
      <c r="C399" s="149"/>
      <c r="D399" s="149"/>
      <c r="E399" s="149"/>
      <c r="F399" s="149"/>
      <c r="G399" s="149"/>
      <c r="H399" s="149"/>
      <c r="I399" s="149"/>
      <c r="J399" s="149"/>
      <c r="K399" s="149"/>
      <c r="L399" s="149"/>
      <c r="M399" s="149"/>
      <c r="N399" s="149"/>
      <c r="O399" s="149"/>
      <c r="P399" s="149"/>
      <c r="Q399" s="149"/>
      <c r="R399" s="149"/>
      <c r="S399" s="149"/>
      <c r="W399" s="149"/>
      <c r="X399" s="149"/>
      <c r="Y399" s="149"/>
      <c r="Z399" s="149"/>
    </row>
    <row r="400" spans="1:26">
      <c r="A400" s="149"/>
      <c r="B400" s="149"/>
      <c r="C400" s="149"/>
      <c r="D400" s="149"/>
      <c r="E400" s="149"/>
      <c r="F400" s="149"/>
      <c r="G400" s="149"/>
      <c r="H400" s="149"/>
      <c r="I400" s="149"/>
      <c r="J400" s="149"/>
      <c r="K400" s="149"/>
      <c r="L400" s="149"/>
      <c r="M400" s="149"/>
      <c r="N400" s="149"/>
      <c r="O400" s="149"/>
      <c r="P400" s="149"/>
      <c r="Q400" s="149"/>
      <c r="R400" s="149"/>
      <c r="S400" s="149"/>
      <c r="W400" s="149"/>
      <c r="X400" s="149"/>
      <c r="Y400" s="149"/>
      <c r="Z400" s="149"/>
    </row>
    <row r="401" spans="1:26">
      <c r="A401" s="149"/>
      <c r="B401" s="149"/>
      <c r="C401" s="149"/>
      <c r="D401" s="149"/>
      <c r="E401" s="149"/>
      <c r="F401" s="149"/>
      <c r="G401" s="149"/>
      <c r="H401" s="149"/>
      <c r="I401" s="149"/>
      <c r="J401" s="149"/>
      <c r="K401" s="149"/>
      <c r="L401" s="149"/>
      <c r="M401" s="149"/>
      <c r="N401" s="149"/>
      <c r="O401" s="149"/>
      <c r="P401" s="149"/>
      <c r="Q401" s="149"/>
      <c r="R401" s="149"/>
      <c r="S401" s="149"/>
      <c r="W401" s="149"/>
      <c r="X401" s="149"/>
      <c r="Y401" s="149"/>
      <c r="Z401" s="149"/>
    </row>
    <row r="402" spans="1:26">
      <c r="A402" s="149"/>
      <c r="B402" s="149"/>
      <c r="C402" s="149"/>
      <c r="D402" s="149"/>
      <c r="E402" s="149"/>
      <c r="F402" s="149"/>
      <c r="G402" s="149"/>
      <c r="H402" s="149"/>
      <c r="I402" s="149"/>
      <c r="J402" s="149"/>
      <c r="K402" s="149"/>
      <c r="L402" s="149"/>
      <c r="M402" s="149"/>
      <c r="N402" s="149"/>
      <c r="O402" s="149"/>
      <c r="P402" s="149"/>
      <c r="Q402" s="149"/>
      <c r="R402" s="149"/>
      <c r="S402" s="149"/>
      <c r="W402" s="149"/>
      <c r="X402" s="149"/>
      <c r="Y402" s="149"/>
      <c r="Z402" s="149"/>
    </row>
    <row r="403" spans="1:26">
      <c r="A403" s="149"/>
      <c r="B403" s="149"/>
      <c r="C403" s="149"/>
      <c r="D403" s="149"/>
      <c r="E403" s="149"/>
      <c r="F403" s="149"/>
      <c r="G403" s="149"/>
      <c r="H403" s="149"/>
      <c r="I403" s="149"/>
      <c r="J403" s="149"/>
      <c r="K403" s="149"/>
      <c r="L403" s="149"/>
      <c r="M403" s="149"/>
      <c r="N403" s="149"/>
      <c r="O403" s="149"/>
      <c r="P403" s="149"/>
      <c r="Q403" s="149"/>
      <c r="R403" s="149"/>
      <c r="S403" s="149"/>
      <c r="W403" s="149"/>
      <c r="X403" s="149"/>
      <c r="Y403" s="149"/>
      <c r="Z403" s="149"/>
    </row>
    <row r="404" spans="1:26">
      <c r="A404" s="149"/>
      <c r="B404" s="149"/>
      <c r="C404" s="149"/>
      <c r="D404" s="149"/>
      <c r="E404" s="149"/>
      <c r="F404" s="149"/>
      <c r="G404" s="149"/>
      <c r="H404" s="149"/>
      <c r="I404" s="149"/>
      <c r="J404" s="149"/>
      <c r="K404" s="149"/>
      <c r="L404" s="149"/>
      <c r="M404" s="149"/>
      <c r="N404" s="149"/>
      <c r="O404" s="149"/>
      <c r="P404" s="149"/>
      <c r="Q404" s="149"/>
      <c r="R404" s="149"/>
      <c r="S404" s="149"/>
      <c r="W404" s="149"/>
      <c r="X404" s="149"/>
      <c r="Y404" s="149"/>
      <c r="Z404" s="149"/>
    </row>
    <row r="405" spans="1:26">
      <c r="A405" s="149"/>
      <c r="B405" s="149"/>
      <c r="C405" s="149"/>
      <c r="D405" s="149"/>
      <c r="E405" s="149"/>
      <c r="F405" s="149"/>
      <c r="G405" s="149"/>
      <c r="H405" s="149"/>
      <c r="I405" s="149"/>
      <c r="J405" s="149"/>
      <c r="K405" s="149"/>
      <c r="L405" s="149"/>
      <c r="M405" s="149"/>
      <c r="N405" s="149"/>
      <c r="O405" s="149"/>
      <c r="P405" s="149"/>
      <c r="Q405" s="149"/>
      <c r="R405" s="149"/>
      <c r="S405" s="149"/>
      <c r="W405" s="149"/>
      <c r="X405" s="149"/>
      <c r="Y405" s="149"/>
      <c r="Z405" s="149"/>
    </row>
    <row r="406" spans="1:26">
      <c r="A406" s="149"/>
      <c r="B406" s="149"/>
      <c r="C406" s="149"/>
      <c r="D406" s="149"/>
      <c r="E406" s="149"/>
      <c r="F406" s="149"/>
      <c r="G406" s="149"/>
      <c r="H406" s="149"/>
      <c r="I406" s="149"/>
      <c r="J406" s="149"/>
      <c r="K406" s="149"/>
      <c r="L406" s="149"/>
      <c r="M406" s="149"/>
      <c r="N406" s="149"/>
      <c r="O406" s="149"/>
      <c r="P406" s="149"/>
      <c r="Q406" s="149"/>
      <c r="R406" s="149"/>
      <c r="S406" s="149"/>
      <c r="W406" s="149"/>
      <c r="X406" s="149"/>
      <c r="Y406" s="149"/>
      <c r="Z406" s="149"/>
    </row>
    <row r="407" spans="1:26">
      <c r="A407" s="149"/>
      <c r="B407" s="149"/>
      <c r="C407" s="149"/>
      <c r="D407" s="149"/>
      <c r="E407" s="149"/>
      <c r="F407" s="149"/>
      <c r="G407" s="149"/>
      <c r="H407" s="149"/>
      <c r="I407" s="149"/>
      <c r="J407" s="149"/>
      <c r="K407" s="149"/>
      <c r="L407" s="149"/>
      <c r="M407" s="149"/>
      <c r="N407" s="149"/>
      <c r="O407" s="149"/>
      <c r="P407" s="149"/>
      <c r="Q407" s="149"/>
      <c r="R407" s="149"/>
      <c r="S407" s="149"/>
      <c r="W407" s="149"/>
      <c r="X407" s="149"/>
      <c r="Y407" s="149"/>
      <c r="Z407" s="149"/>
    </row>
    <row r="408" spans="1:26">
      <c r="A408" s="149"/>
      <c r="B408" s="149"/>
      <c r="C408" s="149"/>
      <c r="D408" s="149"/>
      <c r="E408" s="149"/>
      <c r="F408" s="149"/>
      <c r="G408" s="149"/>
      <c r="H408" s="149"/>
      <c r="I408" s="149"/>
      <c r="J408" s="149"/>
      <c r="K408" s="149"/>
      <c r="L408" s="149"/>
      <c r="M408" s="149"/>
      <c r="N408" s="149"/>
      <c r="O408" s="149"/>
      <c r="P408" s="149"/>
      <c r="Q408" s="149"/>
      <c r="R408" s="149"/>
      <c r="S408" s="149"/>
      <c r="W408" s="149"/>
      <c r="X408" s="149"/>
      <c r="Y408" s="149"/>
      <c r="Z408" s="149"/>
    </row>
    <row r="409" spans="1:26">
      <c r="A409" s="149"/>
      <c r="B409" s="149"/>
      <c r="C409" s="149"/>
      <c r="D409" s="149"/>
      <c r="E409" s="149"/>
      <c r="F409" s="149"/>
      <c r="G409" s="149"/>
      <c r="H409" s="149"/>
      <c r="I409" s="149"/>
      <c r="J409" s="149"/>
      <c r="K409" s="149"/>
      <c r="L409" s="149"/>
      <c r="M409" s="149"/>
      <c r="N409" s="149"/>
      <c r="O409" s="149"/>
      <c r="P409" s="149"/>
      <c r="Q409" s="149"/>
      <c r="R409" s="149"/>
      <c r="S409" s="149"/>
      <c r="W409" s="149"/>
      <c r="X409" s="149"/>
      <c r="Y409" s="149"/>
      <c r="Z409" s="149"/>
    </row>
    <row r="410" spans="1:26">
      <c r="A410" s="149"/>
      <c r="B410" s="149"/>
      <c r="C410" s="149"/>
      <c r="D410" s="149"/>
      <c r="E410" s="149"/>
      <c r="F410" s="149"/>
      <c r="G410" s="149"/>
      <c r="H410" s="149"/>
      <c r="I410" s="149"/>
      <c r="J410" s="149"/>
      <c r="K410" s="149"/>
      <c r="L410" s="149"/>
      <c r="M410" s="149"/>
      <c r="N410" s="149"/>
      <c r="O410" s="149"/>
      <c r="P410" s="149"/>
      <c r="Q410" s="149"/>
      <c r="R410" s="149"/>
      <c r="S410" s="149"/>
      <c r="W410" s="149"/>
      <c r="X410" s="149"/>
      <c r="Y410" s="149"/>
      <c r="Z410" s="149"/>
    </row>
    <row r="411" spans="1:26">
      <c r="A411" s="149"/>
      <c r="B411" s="149"/>
      <c r="C411" s="149"/>
      <c r="D411" s="149"/>
      <c r="E411" s="149"/>
      <c r="F411" s="149"/>
      <c r="G411" s="149"/>
      <c r="H411" s="149"/>
      <c r="I411" s="149"/>
      <c r="J411" s="149"/>
      <c r="K411" s="149"/>
      <c r="L411" s="149"/>
      <c r="M411" s="149"/>
      <c r="N411" s="149"/>
      <c r="O411" s="149"/>
      <c r="P411" s="149"/>
      <c r="Q411" s="149"/>
      <c r="R411" s="149"/>
      <c r="S411" s="149"/>
      <c r="W411" s="149"/>
      <c r="X411" s="149"/>
      <c r="Y411" s="149"/>
      <c r="Z411" s="149"/>
    </row>
    <row r="412" spans="1:26">
      <c r="A412" s="149"/>
      <c r="B412" s="149"/>
      <c r="C412" s="149"/>
      <c r="D412" s="149"/>
      <c r="E412" s="149"/>
      <c r="F412" s="149"/>
      <c r="G412" s="149"/>
      <c r="H412" s="149"/>
      <c r="I412" s="149"/>
      <c r="J412" s="149"/>
      <c r="K412" s="149"/>
      <c r="L412" s="149"/>
      <c r="M412" s="149"/>
      <c r="N412" s="149"/>
      <c r="O412" s="149"/>
      <c r="P412" s="149"/>
      <c r="Q412" s="149"/>
      <c r="R412" s="149"/>
      <c r="S412" s="149"/>
      <c r="W412" s="149"/>
      <c r="X412" s="149"/>
      <c r="Y412" s="149"/>
      <c r="Z412" s="149"/>
    </row>
    <row r="413" spans="1:26">
      <c r="A413" s="149"/>
      <c r="B413" s="149"/>
      <c r="C413" s="149"/>
      <c r="D413" s="149"/>
      <c r="E413" s="149"/>
      <c r="F413" s="149"/>
      <c r="G413" s="149"/>
      <c r="H413" s="149"/>
      <c r="I413" s="149"/>
      <c r="J413" s="149"/>
      <c r="K413" s="149"/>
      <c r="L413" s="149"/>
      <c r="M413" s="149"/>
      <c r="N413" s="149"/>
      <c r="O413" s="149"/>
      <c r="P413" s="149"/>
      <c r="Q413" s="149"/>
      <c r="R413" s="149"/>
      <c r="S413" s="149"/>
      <c r="W413" s="149"/>
      <c r="X413" s="149"/>
      <c r="Y413" s="149"/>
      <c r="Z413" s="149"/>
    </row>
    <row r="414" spans="1:26">
      <c r="A414" s="149"/>
      <c r="B414" s="149"/>
      <c r="C414" s="149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  <c r="O414" s="149"/>
      <c r="P414" s="149"/>
      <c r="Q414" s="149"/>
      <c r="R414" s="149"/>
      <c r="S414" s="149"/>
      <c r="W414" s="149"/>
      <c r="X414" s="149"/>
      <c r="Y414" s="149"/>
      <c r="Z414" s="149"/>
    </row>
    <row r="415" spans="1:26">
      <c r="A415" s="149"/>
      <c r="B415" s="149"/>
      <c r="C415" s="149"/>
      <c r="D415" s="149"/>
      <c r="E415" s="149"/>
      <c r="F415" s="149"/>
      <c r="G415" s="149"/>
      <c r="H415" s="149"/>
      <c r="I415" s="149"/>
      <c r="J415" s="149"/>
      <c r="K415" s="149"/>
      <c r="L415" s="149"/>
      <c r="M415" s="149"/>
      <c r="N415" s="149"/>
      <c r="O415" s="149"/>
      <c r="P415" s="149"/>
      <c r="Q415" s="149"/>
      <c r="R415" s="149"/>
      <c r="S415" s="149"/>
      <c r="W415" s="149"/>
      <c r="X415" s="149"/>
      <c r="Y415" s="149"/>
      <c r="Z415" s="149"/>
    </row>
    <row r="416" spans="1:26">
      <c r="A416" s="149"/>
      <c r="B416" s="149"/>
      <c r="C416" s="149"/>
      <c r="D416" s="149"/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  <c r="O416" s="149"/>
      <c r="P416" s="149"/>
      <c r="Q416" s="149"/>
      <c r="R416" s="149"/>
      <c r="S416" s="149"/>
      <c r="W416" s="149"/>
      <c r="X416" s="149"/>
      <c r="Y416" s="149"/>
      <c r="Z416" s="149"/>
    </row>
    <row r="417" spans="1:26">
      <c r="A417" s="149"/>
      <c r="B417" s="149"/>
      <c r="C417" s="149"/>
      <c r="D417" s="149"/>
      <c r="E417" s="149"/>
      <c r="F417" s="149"/>
      <c r="G417" s="149"/>
      <c r="H417" s="149"/>
      <c r="I417" s="149"/>
      <c r="J417" s="149"/>
      <c r="K417" s="149"/>
      <c r="L417" s="149"/>
      <c r="M417" s="149"/>
      <c r="N417" s="149"/>
      <c r="O417" s="149"/>
      <c r="P417" s="149"/>
      <c r="Q417" s="149"/>
      <c r="R417" s="149"/>
      <c r="S417" s="149"/>
      <c r="W417" s="149"/>
      <c r="X417" s="149"/>
      <c r="Y417" s="149"/>
      <c r="Z417" s="149"/>
    </row>
    <row r="418" spans="1:26">
      <c r="A418" s="149"/>
      <c r="B418" s="149"/>
      <c r="C418" s="149"/>
      <c r="D418" s="149"/>
      <c r="E418" s="149"/>
      <c r="F418" s="149"/>
      <c r="G418" s="149"/>
      <c r="H418" s="149"/>
      <c r="I418" s="149"/>
      <c r="J418" s="149"/>
      <c r="K418" s="149"/>
      <c r="L418" s="149"/>
      <c r="M418" s="149"/>
      <c r="N418" s="149"/>
      <c r="O418" s="149"/>
      <c r="P418" s="149"/>
      <c r="Q418" s="149"/>
      <c r="R418" s="149"/>
      <c r="S418" s="149"/>
      <c r="W418" s="149"/>
      <c r="X418" s="149"/>
      <c r="Y418" s="149"/>
      <c r="Z418" s="149"/>
    </row>
    <row r="419" spans="1:26">
      <c r="A419" s="149"/>
      <c r="B419" s="149"/>
      <c r="C419" s="149"/>
      <c r="D419" s="149"/>
      <c r="E419" s="149"/>
      <c r="F419" s="149"/>
      <c r="G419" s="149"/>
      <c r="H419" s="149"/>
      <c r="I419" s="149"/>
      <c r="J419" s="149"/>
      <c r="K419" s="149"/>
      <c r="L419" s="149"/>
      <c r="M419" s="149"/>
      <c r="N419" s="149"/>
      <c r="O419" s="149"/>
      <c r="P419" s="149"/>
      <c r="Q419" s="149"/>
      <c r="R419" s="149"/>
      <c r="S419" s="149"/>
      <c r="W419" s="149"/>
      <c r="X419" s="149"/>
      <c r="Y419" s="149"/>
      <c r="Z419" s="149"/>
    </row>
    <row r="420" spans="1:26">
      <c r="A420" s="149"/>
      <c r="B420" s="149"/>
      <c r="C420" s="149"/>
      <c r="D420" s="149"/>
      <c r="E420" s="149"/>
      <c r="F420" s="149"/>
      <c r="G420" s="149"/>
      <c r="H420" s="149"/>
      <c r="I420" s="149"/>
      <c r="J420" s="149"/>
      <c r="K420" s="149"/>
      <c r="L420" s="149"/>
      <c r="M420" s="149"/>
      <c r="N420" s="149"/>
      <c r="O420" s="149"/>
      <c r="P420" s="149"/>
      <c r="Q420" s="149"/>
      <c r="R420" s="149"/>
      <c r="S420" s="149"/>
      <c r="W420" s="149"/>
      <c r="X420" s="149"/>
      <c r="Y420" s="149"/>
      <c r="Z420" s="149"/>
    </row>
    <row r="421" spans="1:26">
      <c r="A421" s="149"/>
      <c r="B421" s="149"/>
      <c r="C421" s="149"/>
      <c r="D421" s="149"/>
      <c r="E421" s="149"/>
      <c r="F421" s="149"/>
      <c r="G421" s="149"/>
      <c r="H421" s="149"/>
      <c r="I421" s="149"/>
      <c r="J421" s="149"/>
      <c r="K421" s="149"/>
      <c r="L421" s="149"/>
      <c r="M421" s="149"/>
      <c r="N421" s="149"/>
      <c r="O421" s="149"/>
      <c r="P421" s="149"/>
      <c r="Q421" s="149"/>
      <c r="R421" s="149"/>
      <c r="S421" s="149"/>
      <c r="W421" s="149"/>
      <c r="X421" s="149"/>
      <c r="Y421" s="149"/>
      <c r="Z421" s="149"/>
    </row>
    <row r="422" spans="1:26">
      <c r="A422" s="149"/>
      <c r="B422" s="149"/>
      <c r="C422" s="149"/>
      <c r="D422" s="149"/>
      <c r="E422" s="149"/>
      <c r="F422" s="149"/>
      <c r="G422" s="149"/>
      <c r="H422" s="149"/>
      <c r="I422" s="149"/>
      <c r="J422" s="149"/>
      <c r="K422" s="149"/>
      <c r="L422" s="149"/>
      <c r="M422" s="149"/>
      <c r="N422" s="149"/>
      <c r="O422" s="149"/>
      <c r="P422" s="149"/>
      <c r="Q422" s="149"/>
      <c r="R422" s="149"/>
      <c r="S422" s="149"/>
      <c r="W422" s="149"/>
      <c r="X422" s="149"/>
      <c r="Y422" s="149"/>
      <c r="Z422" s="149"/>
    </row>
    <row r="423" spans="1:26">
      <c r="A423" s="149"/>
      <c r="B423" s="149"/>
      <c r="C423" s="149"/>
      <c r="D423" s="149"/>
      <c r="E423" s="149"/>
      <c r="F423" s="149"/>
      <c r="G423" s="149"/>
      <c r="H423" s="149"/>
      <c r="I423" s="149"/>
      <c r="J423" s="149"/>
      <c r="K423" s="149"/>
      <c r="L423" s="149"/>
      <c r="M423" s="149"/>
      <c r="N423" s="149"/>
      <c r="O423" s="149"/>
      <c r="P423" s="149"/>
      <c r="Q423" s="149"/>
      <c r="R423" s="149"/>
      <c r="S423" s="149"/>
      <c r="W423" s="149"/>
      <c r="X423" s="149"/>
      <c r="Y423" s="149"/>
      <c r="Z423" s="149"/>
    </row>
    <row r="424" spans="1:26">
      <c r="A424" s="149"/>
      <c r="B424" s="149"/>
      <c r="C424" s="149"/>
      <c r="D424" s="149"/>
      <c r="E424" s="149"/>
      <c r="F424" s="149"/>
      <c r="G424" s="149"/>
      <c r="H424" s="149"/>
      <c r="I424" s="149"/>
      <c r="J424" s="149"/>
      <c r="K424" s="149"/>
      <c r="L424" s="149"/>
      <c r="M424" s="149"/>
      <c r="N424" s="149"/>
      <c r="O424" s="149"/>
      <c r="P424" s="149"/>
      <c r="Q424" s="149"/>
      <c r="R424" s="149"/>
      <c r="S424" s="149"/>
      <c r="W424" s="149"/>
      <c r="X424" s="149"/>
      <c r="Y424" s="149"/>
      <c r="Z424" s="149"/>
    </row>
    <row r="425" spans="1:26">
      <c r="A425" s="149"/>
      <c r="B425" s="149"/>
      <c r="C425" s="149"/>
      <c r="D425" s="149"/>
      <c r="E425" s="149"/>
      <c r="F425" s="149"/>
      <c r="G425" s="149"/>
      <c r="H425" s="149"/>
      <c r="I425" s="149"/>
      <c r="J425" s="149"/>
      <c r="K425" s="149"/>
      <c r="L425" s="149"/>
      <c r="M425" s="149"/>
      <c r="N425" s="149"/>
      <c r="O425" s="149"/>
      <c r="P425" s="149"/>
      <c r="Q425" s="149"/>
      <c r="R425" s="149"/>
      <c r="S425" s="149"/>
      <c r="W425" s="149"/>
      <c r="X425" s="149"/>
      <c r="Y425" s="149"/>
      <c r="Z425" s="149"/>
    </row>
    <row r="426" spans="1:26">
      <c r="A426" s="149"/>
      <c r="B426" s="149"/>
      <c r="C426" s="149"/>
      <c r="D426" s="149"/>
      <c r="E426" s="149"/>
      <c r="F426" s="149"/>
      <c r="G426" s="149"/>
      <c r="H426" s="149"/>
      <c r="I426" s="149"/>
      <c r="J426" s="149"/>
      <c r="K426" s="149"/>
      <c r="L426" s="149"/>
      <c r="M426" s="149"/>
      <c r="N426" s="149"/>
      <c r="O426" s="149"/>
      <c r="P426" s="149"/>
      <c r="Q426" s="149"/>
      <c r="R426" s="149"/>
      <c r="S426" s="149"/>
      <c r="W426" s="149"/>
      <c r="X426" s="149"/>
      <c r="Y426" s="149"/>
      <c r="Z426" s="149"/>
    </row>
    <row r="427" spans="1:26">
      <c r="A427" s="149"/>
      <c r="B427" s="149"/>
      <c r="C427" s="149"/>
      <c r="D427" s="149"/>
      <c r="E427" s="149"/>
      <c r="F427" s="149"/>
      <c r="G427" s="149"/>
      <c r="H427" s="149"/>
      <c r="I427" s="149"/>
      <c r="J427" s="149"/>
      <c r="K427" s="149"/>
      <c r="L427" s="149"/>
      <c r="M427" s="149"/>
      <c r="N427" s="149"/>
      <c r="O427" s="149"/>
      <c r="P427" s="149"/>
      <c r="Q427" s="149"/>
      <c r="R427" s="149"/>
      <c r="S427" s="149"/>
      <c r="W427" s="149"/>
      <c r="X427" s="149"/>
      <c r="Y427" s="149"/>
      <c r="Z427" s="149"/>
    </row>
    <row r="428" spans="1:26">
      <c r="A428" s="149"/>
      <c r="B428" s="149"/>
      <c r="C428" s="149"/>
      <c r="D428" s="149"/>
      <c r="E428" s="149"/>
      <c r="F428" s="149"/>
      <c r="G428" s="149"/>
      <c r="H428" s="149"/>
      <c r="I428" s="149"/>
      <c r="J428" s="149"/>
      <c r="K428" s="149"/>
      <c r="L428" s="149"/>
      <c r="M428" s="149"/>
      <c r="N428" s="149"/>
      <c r="O428" s="149"/>
      <c r="P428" s="149"/>
      <c r="Q428" s="149"/>
      <c r="R428" s="149"/>
      <c r="S428" s="149"/>
      <c r="W428" s="149"/>
      <c r="X428" s="149"/>
      <c r="Y428" s="149"/>
      <c r="Z428" s="149"/>
    </row>
    <row r="429" spans="1:26">
      <c r="A429" s="149"/>
      <c r="B429" s="149"/>
      <c r="C429" s="149"/>
      <c r="D429" s="149"/>
      <c r="E429" s="149"/>
      <c r="F429" s="149"/>
      <c r="G429" s="149"/>
      <c r="H429" s="149"/>
      <c r="I429" s="149"/>
      <c r="J429" s="149"/>
      <c r="K429" s="149"/>
      <c r="L429" s="149"/>
      <c r="M429" s="149"/>
      <c r="N429" s="149"/>
      <c r="O429" s="149"/>
      <c r="P429" s="149"/>
      <c r="Q429" s="149"/>
      <c r="R429" s="149"/>
      <c r="S429" s="149"/>
      <c r="W429" s="149"/>
      <c r="X429" s="149"/>
      <c r="Y429" s="149"/>
      <c r="Z429" s="149"/>
    </row>
    <row r="430" spans="1:26">
      <c r="A430" s="149"/>
      <c r="B430" s="149"/>
      <c r="C430" s="149"/>
      <c r="D430" s="149"/>
      <c r="E430" s="149"/>
      <c r="F430" s="149"/>
      <c r="G430" s="149"/>
      <c r="H430" s="149"/>
      <c r="I430" s="149"/>
      <c r="J430" s="149"/>
      <c r="K430" s="149"/>
      <c r="L430" s="149"/>
      <c r="M430" s="149"/>
      <c r="N430" s="149"/>
      <c r="O430" s="149"/>
      <c r="P430" s="149"/>
      <c r="Q430" s="149"/>
      <c r="R430" s="149"/>
      <c r="S430" s="149"/>
      <c r="W430" s="149"/>
      <c r="X430" s="149"/>
      <c r="Y430" s="149"/>
      <c r="Z430" s="149"/>
    </row>
    <row r="431" spans="1:26">
      <c r="A431" s="149"/>
      <c r="B431" s="149"/>
      <c r="C431" s="149"/>
      <c r="D431" s="149"/>
      <c r="E431" s="149"/>
      <c r="F431" s="149"/>
      <c r="G431" s="149"/>
      <c r="H431" s="149"/>
      <c r="I431" s="149"/>
      <c r="J431" s="149"/>
      <c r="K431" s="149"/>
      <c r="L431" s="149"/>
      <c r="M431" s="149"/>
      <c r="N431" s="149"/>
      <c r="O431" s="149"/>
      <c r="P431" s="149"/>
      <c r="Q431" s="149"/>
      <c r="R431" s="149"/>
      <c r="S431" s="149"/>
      <c r="W431" s="149"/>
      <c r="X431" s="149"/>
      <c r="Y431" s="149"/>
      <c r="Z431" s="149"/>
    </row>
    <row r="432" spans="1:26">
      <c r="A432" s="149"/>
      <c r="B432" s="149"/>
      <c r="C432" s="149"/>
      <c r="D432" s="149"/>
      <c r="E432" s="149"/>
      <c r="F432" s="149"/>
      <c r="G432" s="149"/>
      <c r="H432" s="149"/>
      <c r="I432" s="149"/>
      <c r="J432" s="149"/>
      <c r="K432" s="149"/>
      <c r="L432" s="149"/>
      <c r="M432" s="149"/>
      <c r="N432" s="149"/>
      <c r="O432" s="149"/>
      <c r="P432" s="149"/>
      <c r="Q432" s="149"/>
      <c r="R432" s="149"/>
      <c r="S432" s="149"/>
      <c r="W432" s="149"/>
      <c r="X432" s="149"/>
      <c r="Y432" s="149"/>
      <c r="Z432" s="149"/>
    </row>
    <row r="433" spans="1:26">
      <c r="A433" s="149"/>
      <c r="B433" s="149"/>
      <c r="C433" s="149"/>
      <c r="D433" s="149"/>
      <c r="E433" s="149"/>
      <c r="F433" s="149"/>
      <c r="G433" s="149"/>
      <c r="H433" s="149"/>
      <c r="I433" s="149"/>
      <c r="J433" s="149"/>
      <c r="K433" s="149"/>
      <c r="L433" s="149"/>
      <c r="M433" s="149"/>
      <c r="N433" s="149"/>
      <c r="O433" s="149"/>
      <c r="P433" s="149"/>
      <c r="Q433" s="149"/>
      <c r="R433" s="149"/>
      <c r="S433" s="149"/>
      <c r="W433" s="149"/>
      <c r="X433" s="149"/>
      <c r="Y433" s="149"/>
      <c r="Z433" s="149"/>
    </row>
    <row r="434" spans="1:26">
      <c r="A434" s="149"/>
      <c r="B434" s="149"/>
      <c r="C434" s="149"/>
      <c r="D434" s="149"/>
      <c r="E434" s="149"/>
      <c r="F434" s="149"/>
      <c r="G434" s="149"/>
      <c r="H434" s="149"/>
      <c r="I434" s="149"/>
      <c r="J434" s="149"/>
      <c r="K434" s="149"/>
      <c r="L434" s="149"/>
      <c r="M434" s="149"/>
      <c r="N434" s="149"/>
      <c r="O434" s="149"/>
      <c r="P434" s="149"/>
      <c r="Q434" s="149"/>
      <c r="R434" s="149"/>
      <c r="S434" s="149"/>
      <c r="W434" s="149"/>
      <c r="X434" s="149"/>
      <c r="Y434" s="149"/>
      <c r="Z434" s="149"/>
    </row>
    <row r="435" spans="1:26">
      <c r="A435" s="149"/>
      <c r="B435" s="149"/>
      <c r="C435" s="149"/>
      <c r="D435" s="149"/>
      <c r="E435" s="149"/>
      <c r="F435" s="149"/>
      <c r="G435" s="149"/>
      <c r="H435" s="149"/>
      <c r="I435" s="149"/>
      <c r="J435" s="149"/>
      <c r="K435" s="149"/>
      <c r="L435" s="149"/>
      <c r="M435" s="149"/>
      <c r="N435" s="149"/>
      <c r="O435" s="149"/>
      <c r="P435" s="149"/>
      <c r="Q435" s="149"/>
      <c r="R435" s="149"/>
      <c r="S435" s="149"/>
      <c r="W435" s="149"/>
      <c r="X435" s="149"/>
      <c r="Y435" s="149"/>
      <c r="Z435" s="149"/>
    </row>
    <row r="436" spans="1:26">
      <c r="A436" s="149"/>
      <c r="B436" s="149"/>
      <c r="C436" s="149"/>
      <c r="D436" s="149"/>
      <c r="E436" s="149"/>
      <c r="F436" s="149"/>
      <c r="G436" s="149"/>
      <c r="H436" s="149"/>
      <c r="I436" s="149"/>
      <c r="J436" s="149"/>
      <c r="K436" s="149"/>
      <c r="L436" s="149"/>
      <c r="M436" s="149"/>
      <c r="N436" s="149"/>
      <c r="O436" s="149"/>
      <c r="P436" s="149"/>
      <c r="Q436" s="149"/>
      <c r="R436" s="149"/>
      <c r="S436" s="149"/>
      <c r="W436" s="149"/>
      <c r="X436" s="149"/>
      <c r="Y436" s="149"/>
      <c r="Z436" s="149"/>
    </row>
    <row r="437" spans="1:26">
      <c r="A437" s="149"/>
      <c r="B437" s="149"/>
      <c r="C437" s="149"/>
      <c r="D437" s="149"/>
      <c r="E437" s="149"/>
      <c r="F437" s="149"/>
      <c r="G437" s="149"/>
      <c r="H437" s="149"/>
      <c r="I437" s="149"/>
      <c r="J437" s="149"/>
      <c r="K437" s="149"/>
      <c r="L437" s="149"/>
      <c r="M437" s="149"/>
      <c r="N437" s="149"/>
      <c r="O437" s="149"/>
      <c r="P437" s="149"/>
      <c r="Q437" s="149"/>
      <c r="R437" s="149"/>
      <c r="S437" s="149"/>
      <c r="W437" s="149"/>
      <c r="X437" s="149"/>
      <c r="Y437" s="149"/>
      <c r="Z437" s="149"/>
    </row>
    <row r="438" spans="1:26">
      <c r="A438" s="149"/>
      <c r="B438" s="149"/>
      <c r="C438" s="149"/>
      <c r="D438" s="149"/>
      <c r="E438" s="149"/>
      <c r="F438" s="149"/>
      <c r="G438" s="149"/>
      <c r="H438" s="149"/>
      <c r="I438" s="149"/>
      <c r="J438" s="149"/>
      <c r="K438" s="149"/>
      <c r="L438" s="149"/>
      <c r="M438" s="149"/>
      <c r="N438" s="149"/>
      <c r="O438" s="149"/>
      <c r="P438" s="149"/>
      <c r="Q438" s="149"/>
      <c r="R438" s="149"/>
      <c r="S438" s="149"/>
      <c r="W438" s="149"/>
      <c r="X438" s="149"/>
      <c r="Y438" s="149"/>
      <c r="Z438" s="149"/>
    </row>
    <row r="439" spans="1:26">
      <c r="A439" s="149"/>
      <c r="B439" s="149"/>
      <c r="C439" s="149"/>
      <c r="D439" s="149"/>
      <c r="E439" s="149"/>
      <c r="F439" s="149"/>
      <c r="G439" s="149"/>
      <c r="H439" s="149"/>
      <c r="I439" s="149"/>
      <c r="J439" s="149"/>
      <c r="K439" s="149"/>
      <c r="L439" s="149"/>
      <c r="M439" s="149"/>
      <c r="N439" s="149"/>
      <c r="O439" s="149"/>
      <c r="P439" s="149"/>
      <c r="Q439" s="149"/>
      <c r="R439" s="149"/>
      <c r="S439" s="149"/>
      <c r="W439" s="149"/>
      <c r="X439" s="149"/>
      <c r="Y439" s="149"/>
      <c r="Z439" s="149"/>
    </row>
    <row r="440" spans="1:26">
      <c r="A440" s="149"/>
      <c r="B440" s="149"/>
      <c r="C440" s="149"/>
      <c r="D440" s="149"/>
      <c r="E440" s="149"/>
      <c r="F440" s="149"/>
      <c r="G440" s="149"/>
      <c r="H440" s="149"/>
      <c r="I440" s="149"/>
      <c r="J440" s="149"/>
      <c r="K440" s="149"/>
      <c r="L440" s="149"/>
      <c r="M440" s="149"/>
      <c r="N440" s="149"/>
      <c r="O440" s="149"/>
      <c r="P440" s="149"/>
      <c r="Q440" s="149"/>
      <c r="R440" s="149"/>
      <c r="S440" s="149"/>
      <c r="W440" s="149"/>
      <c r="X440" s="149"/>
      <c r="Y440" s="149"/>
      <c r="Z440" s="149"/>
    </row>
    <row r="441" spans="1:26">
      <c r="A441" s="149"/>
      <c r="B441" s="149"/>
      <c r="C441" s="149"/>
      <c r="D441" s="149"/>
      <c r="E441" s="149"/>
      <c r="F441" s="149"/>
      <c r="G441" s="149"/>
      <c r="H441" s="149"/>
      <c r="I441" s="149"/>
      <c r="J441" s="149"/>
      <c r="K441" s="149"/>
      <c r="L441" s="149"/>
      <c r="M441" s="149"/>
      <c r="N441" s="149"/>
      <c r="O441" s="149"/>
      <c r="P441" s="149"/>
      <c r="Q441" s="149"/>
      <c r="R441" s="149"/>
      <c r="S441" s="149"/>
      <c r="W441" s="149"/>
      <c r="X441" s="149"/>
      <c r="Y441" s="149"/>
      <c r="Z441" s="149"/>
    </row>
    <row r="442" spans="1:26">
      <c r="A442" s="149"/>
      <c r="B442" s="149"/>
      <c r="C442" s="149"/>
      <c r="D442" s="149"/>
      <c r="E442" s="149"/>
      <c r="F442" s="149"/>
      <c r="G442" s="149"/>
      <c r="H442" s="149"/>
      <c r="I442" s="149"/>
      <c r="J442" s="149"/>
      <c r="K442" s="149"/>
      <c r="L442" s="149"/>
      <c r="M442" s="149"/>
      <c r="N442" s="149"/>
      <c r="O442" s="149"/>
      <c r="P442" s="149"/>
      <c r="Q442" s="149"/>
      <c r="R442" s="149"/>
      <c r="S442" s="149"/>
      <c r="W442" s="149"/>
      <c r="X442" s="149"/>
      <c r="Y442" s="149"/>
      <c r="Z442" s="149"/>
    </row>
    <row r="443" spans="1:26">
      <c r="A443" s="149"/>
      <c r="B443" s="149"/>
      <c r="C443" s="149"/>
      <c r="D443" s="149"/>
      <c r="E443" s="149"/>
      <c r="F443" s="149"/>
      <c r="G443" s="149"/>
      <c r="H443" s="149"/>
      <c r="I443" s="149"/>
      <c r="J443" s="149"/>
      <c r="K443" s="149"/>
      <c r="L443" s="149"/>
      <c r="M443" s="149"/>
      <c r="N443" s="149"/>
      <c r="O443" s="149"/>
      <c r="P443" s="149"/>
      <c r="Q443" s="149"/>
      <c r="R443" s="149"/>
      <c r="S443" s="149"/>
      <c r="W443" s="149"/>
      <c r="X443" s="149"/>
      <c r="Y443" s="149"/>
      <c r="Z443" s="149"/>
    </row>
    <row r="444" spans="1:26">
      <c r="A444" s="149"/>
      <c r="B444" s="149"/>
      <c r="C444" s="149"/>
      <c r="D444" s="149"/>
      <c r="E444" s="149"/>
      <c r="F444" s="149"/>
      <c r="G444" s="149"/>
      <c r="H444" s="149"/>
      <c r="I444" s="149"/>
      <c r="J444" s="149"/>
      <c r="K444" s="149"/>
      <c r="L444" s="149"/>
      <c r="M444" s="149"/>
      <c r="N444" s="149"/>
      <c r="O444" s="149"/>
      <c r="P444" s="149"/>
      <c r="Q444" s="149"/>
      <c r="R444" s="149"/>
      <c r="S444" s="149"/>
      <c r="W444" s="149"/>
      <c r="X444" s="149"/>
      <c r="Y444" s="149"/>
      <c r="Z444" s="149"/>
    </row>
    <row r="445" spans="1:26">
      <c r="A445" s="149"/>
      <c r="B445" s="149"/>
      <c r="C445" s="149"/>
      <c r="D445" s="149"/>
      <c r="E445" s="149"/>
      <c r="F445" s="149"/>
      <c r="G445" s="149"/>
      <c r="H445" s="149"/>
      <c r="I445" s="149"/>
      <c r="J445" s="149"/>
      <c r="K445" s="149"/>
      <c r="L445" s="149"/>
      <c r="M445" s="149"/>
      <c r="N445" s="149"/>
      <c r="O445" s="149"/>
      <c r="P445" s="149"/>
      <c r="Q445" s="149"/>
      <c r="R445" s="149"/>
      <c r="S445" s="149"/>
      <c r="W445" s="149"/>
      <c r="X445" s="149"/>
      <c r="Y445" s="149"/>
      <c r="Z445" s="149"/>
    </row>
    <row r="446" spans="1:26">
      <c r="A446" s="149"/>
      <c r="B446" s="149"/>
      <c r="C446" s="149"/>
      <c r="D446" s="149"/>
      <c r="E446" s="149"/>
      <c r="F446" s="149"/>
      <c r="G446" s="149"/>
      <c r="H446" s="149"/>
      <c r="I446" s="149"/>
      <c r="J446" s="149"/>
      <c r="K446" s="149"/>
      <c r="L446" s="149"/>
      <c r="M446" s="149"/>
      <c r="N446" s="149"/>
      <c r="O446" s="149"/>
      <c r="P446" s="149"/>
      <c r="Q446" s="149"/>
      <c r="R446" s="149"/>
      <c r="S446" s="149"/>
      <c r="W446" s="149"/>
      <c r="X446" s="149"/>
      <c r="Y446" s="149"/>
      <c r="Z446" s="149"/>
    </row>
    <row r="447" spans="1:26">
      <c r="A447" s="149"/>
      <c r="B447" s="149"/>
      <c r="C447" s="149"/>
      <c r="D447" s="149"/>
      <c r="E447" s="149"/>
      <c r="F447" s="149"/>
      <c r="G447" s="149"/>
      <c r="H447" s="149"/>
      <c r="I447" s="149"/>
      <c r="J447" s="149"/>
      <c r="K447" s="149"/>
      <c r="L447" s="149"/>
      <c r="M447" s="149"/>
      <c r="N447" s="149"/>
      <c r="O447" s="149"/>
      <c r="P447" s="149"/>
      <c r="Q447" s="149"/>
      <c r="R447" s="149"/>
      <c r="S447" s="149"/>
      <c r="W447" s="149"/>
      <c r="X447" s="149"/>
      <c r="Y447" s="149"/>
      <c r="Z447" s="149"/>
    </row>
    <row r="448" spans="1:26">
      <c r="A448" s="149"/>
      <c r="B448" s="149"/>
      <c r="C448" s="149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W448" s="149"/>
      <c r="X448" s="149"/>
      <c r="Y448" s="149"/>
      <c r="Z448" s="149"/>
    </row>
    <row r="449" spans="1:26">
      <c r="A449" s="149"/>
      <c r="B449" s="149"/>
      <c r="C449" s="149"/>
      <c r="D449" s="149"/>
      <c r="E449" s="149"/>
      <c r="F449" s="149"/>
      <c r="G449" s="149"/>
      <c r="H449" s="149"/>
      <c r="I449" s="149"/>
      <c r="J449" s="149"/>
      <c r="K449" s="149"/>
      <c r="L449" s="149"/>
      <c r="M449" s="149"/>
      <c r="N449" s="149"/>
      <c r="O449" s="149"/>
      <c r="P449" s="149"/>
      <c r="Q449" s="149"/>
      <c r="R449" s="149"/>
      <c r="S449" s="149"/>
      <c r="W449" s="149"/>
      <c r="X449" s="149"/>
      <c r="Y449" s="149"/>
      <c r="Z449" s="149"/>
    </row>
    <row r="450" spans="1:26">
      <c r="A450" s="149"/>
      <c r="B450" s="149"/>
      <c r="C450" s="149"/>
      <c r="D450" s="149"/>
      <c r="E450" s="149"/>
      <c r="F450" s="149"/>
      <c r="G450" s="149"/>
      <c r="H450" s="149"/>
      <c r="I450" s="149"/>
      <c r="J450" s="149"/>
      <c r="K450" s="149"/>
      <c r="L450" s="149"/>
      <c r="M450" s="149"/>
      <c r="N450" s="149"/>
      <c r="O450" s="149"/>
      <c r="P450" s="149"/>
      <c r="Q450" s="149"/>
      <c r="R450" s="149"/>
      <c r="S450" s="149"/>
      <c r="W450" s="149"/>
      <c r="X450" s="149"/>
      <c r="Y450" s="149"/>
      <c r="Z450" s="149"/>
    </row>
    <row r="451" spans="1:26">
      <c r="A451" s="149"/>
      <c r="B451" s="149"/>
      <c r="C451" s="149"/>
      <c r="D451" s="149"/>
      <c r="E451" s="149"/>
      <c r="F451" s="149"/>
      <c r="G451" s="149"/>
      <c r="H451" s="149"/>
      <c r="I451" s="149"/>
      <c r="J451" s="149"/>
      <c r="K451" s="149"/>
      <c r="L451" s="149"/>
      <c r="M451" s="149"/>
      <c r="N451" s="149"/>
      <c r="O451" s="149"/>
      <c r="P451" s="149"/>
      <c r="Q451" s="149"/>
      <c r="R451" s="149"/>
      <c r="S451" s="149"/>
      <c r="W451" s="149"/>
      <c r="X451" s="149"/>
      <c r="Y451" s="149"/>
      <c r="Z451" s="149"/>
    </row>
    <row r="452" spans="1:26">
      <c r="A452" s="149"/>
      <c r="B452" s="149"/>
      <c r="C452" s="149"/>
      <c r="D452" s="149"/>
      <c r="E452" s="149"/>
      <c r="F452" s="149"/>
      <c r="G452" s="149"/>
      <c r="H452" s="149"/>
      <c r="I452" s="149"/>
      <c r="J452" s="149"/>
      <c r="K452" s="149"/>
      <c r="L452" s="149"/>
      <c r="M452" s="149"/>
      <c r="N452" s="149"/>
      <c r="O452" s="149"/>
      <c r="P452" s="149"/>
      <c r="Q452" s="149"/>
      <c r="R452" s="149"/>
      <c r="S452" s="149"/>
      <c r="W452" s="149"/>
      <c r="X452" s="149"/>
      <c r="Y452" s="149"/>
      <c r="Z452" s="149"/>
    </row>
    <row r="453" spans="1:26">
      <c r="A453" s="149"/>
      <c r="B453" s="149"/>
      <c r="C453" s="149"/>
      <c r="D453" s="149"/>
      <c r="E453" s="149"/>
      <c r="F453" s="149"/>
      <c r="G453" s="149"/>
      <c r="H453" s="149"/>
      <c r="I453" s="149"/>
      <c r="J453" s="149"/>
      <c r="K453" s="149"/>
      <c r="L453" s="149"/>
      <c r="M453" s="149"/>
      <c r="N453" s="149"/>
      <c r="O453" s="149"/>
      <c r="P453" s="149"/>
      <c r="Q453" s="149"/>
      <c r="R453" s="149"/>
      <c r="S453" s="149"/>
      <c r="W453" s="149"/>
      <c r="X453" s="149"/>
      <c r="Y453" s="149"/>
      <c r="Z453" s="149"/>
    </row>
    <row r="454" spans="1:26">
      <c r="A454" s="149"/>
      <c r="B454" s="149"/>
      <c r="C454" s="149"/>
      <c r="D454" s="149"/>
      <c r="E454" s="149"/>
      <c r="F454" s="149"/>
      <c r="G454" s="149"/>
      <c r="H454" s="149"/>
      <c r="I454" s="149"/>
      <c r="J454" s="149"/>
      <c r="K454" s="149"/>
      <c r="L454" s="149"/>
      <c r="M454" s="149"/>
      <c r="N454" s="149"/>
      <c r="O454" s="149"/>
      <c r="P454" s="149"/>
      <c r="Q454" s="149"/>
      <c r="R454" s="149"/>
      <c r="S454" s="149"/>
      <c r="W454" s="149"/>
      <c r="X454" s="149"/>
      <c r="Y454" s="149"/>
      <c r="Z454" s="149"/>
    </row>
    <row r="455" spans="1:26">
      <c r="A455" s="149"/>
      <c r="B455" s="149"/>
      <c r="C455" s="149"/>
      <c r="D455" s="149"/>
      <c r="E455" s="149"/>
      <c r="F455" s="149"/>
      <c r="G455" s="149"/>
      <c r="H455" s="149"/>
      <c r="I455" s="149"/>
      <c r="J455" s="149"/>
      <c r="K455" s="149"/>
      <c r="L455" s="149"/>
      <c r="M455" s="149"/>
      <c r="N455" s="149"/>
      <c r="O455" s="149"/>
      <c r="P455" s="149"/>
      <c r="Q455" s="149"/>
      <c r="R455" s="149"/>
      <c r="S455" s="149"/>
      <c r="W455" s="149"/>
      <c r="X455" s="149"/>
      <c r="Y455" s="149"/>
      <c r="Z455" s="149"/>
    </row>
    <row r="456" spans="1:26">
      <c r="A456" s="149"/>
      <c r="B456" s="149"/>
      <c r="C456" s="149"/>
      <c r="D456" s="149"/>
      <c r="E456" s="149"/>
      <c r="F456" s="149"/>
      <c r="G456" s="149"/>
      <c r="H456" s="149"/>
      <c r="I456" s="149"/>
      <c r="J456" s="149"/>
      <c r="K456" s="149"/>
      <c r="L456" s="149"/>
      <c r="M456" s="149"/>
      <c r="N456" s="149"/>
      <c r="O456" s="149"/>
      <c r="P456" s="149"/>
      <c r="Q456" s="149"/>
      <c r="R456" s="149"/>
      <c r="S456" s="149"/>
      <c r="W456" s="149"/>
      <c r="X456" s="149"/>
      <c r="Y456" s="149"/>
      <c r="Z456" s="149"/>
    </row>
    <row r="457" spans="1:26">
      <c r="A457" s="149"/>
      <c r="B457" s="149"/>
      <c r="C457" s="149"/>
      <c r="D457" s="149"/>
      <c r="E457" s="149"/>
      <c r="F457" s="149"/>
      <c r="G457" s="149"/>
      <c r="H457" s="149"/>
      <c r="I457" s="149"/>
      <c r="J457" s="149"/>
      <c r="K457" s="149"/>
      <c r="L457" s="149"/>
      <c r="M457" s="149"/>
      <c r="N457" s="149"/>
      <c r="O457" s="149"/>
      <c r="P457" s="149"/>
      <c r="Q457" s="149"/>
      <c r="R457" s="149"/>
      <c r="S457" s="149"/>
      <c r="W457" s="149"/>
      <c r="X457" s="149"/>
      <c r="Y457" s="149"/>
      <c r="Z457" s="149"/>
    </row>
    <row r="458" spans="1:26">
      <c r="A458" s="149"/>
      <c r="B458" s="149"/>
      <c r="C458" s="149"/>
      <c r="D458" s="149"/>
      <c r="E458" s="149"/>
      <c r="F458" s="149"/>
      <c r="G458" s="149"/>
      <c r="H458" s="149"/>
      <c r="I458" s="149"/>
      <c r="J458" s="149"/>
      <c r="K458" s="149"/>
      <c r="L458" s="149"/>
      <c r="M458" s="149"/>
      <c r="N458" s="149"/>
      <c r="O458" s="149"/>
      <c r="P458" s="149"/>
      <c r="Q458" s="149"/>
      <c r="R458" s="149"/>
      <c r="S458" s="149"/>
      <c r="W458" s="149"/>
      <c r="X458" s="149"/>
      <c r="Y458" s="149"/>
      <c r="Z458" s="149"/>
    </row>
    <row r="459" spans="1:26">
      <c r="A459" s="149"/>
      <c r="B459" s="149"/>
      <c r="C459" s="149"/>
      <c r="D459" s="149"/>
      <c r="E459" s="149"/>
      <c r="F459" s="149"/>
      <c r="G459" s="149"/>
      <c r="H459" s="149"/>
      <c r="I459" s="149"/>
      <c r="J459" s="149"/>
      <c r="K459" s="149"/>
      <c r="L459" s="149"/>
      <c r="M459" s="149"/>
      <c r="N459" s="149"/>
      <c r="O459" s="149"/>
      <c r="P459" s="149"/>
      <c r="Q459" s="149"/>
      <c r="R459" s="149"/>
      <c r="S459" s="149"/>
      <c r="W459" s="149"/>
      <c r="X459" s="149"/>
      <c r="Y459" s="149"/>
      <c r="Z459" s="149"/>
    </row>
    <row r="460" spans="1:26">
      <c r="A460" s="149"/>
      <c r="B460" s="149"/>
      <c r="C460" s="149"/>
      <c r="D460" s="149"/>
      <c r="E460" s="149"/>
      <c r="F460" s="149"/>
      <c r="G460" s="149"/>
      <c r="H460" s="149"/>
      <c r="I460" s="149"/>
      <c r="J460" s="149"/>
      <c r="K460" s="149"/>
      <c r="L460" s="149"/>
      <c r="M460" s="149"/>
      <c r="N460" s="149"/>
      <c r="O460" s="149"/>
      <c r="P460" s="149"/>
      <c r="Q460" s="149"/>
      <c r="R460" s="149"/>
      <c r="S460" s="149"/>
      <c r="W460" s="149"/>
      <c r="X460" s="149"/>
      <c r="Y460" s="149"/>
      <c r="Z460" s="149"/>
    </row>
    <row r="461" spans="1:26">
      <c r="A461" s="149"/>
      <c r="B461" s="149"/>
      <c r="C461" s="149"/>
      <c r="D461" s="149"/>
      <c r="E461" s="149"/>
      <c r="F461" s="149"/>
      <c r="G461" s="149"/>
      <c r="H461" s="149"/>
      <c r="I461" s="149"/>
      <c r="J461" s="149"/>
      <c r="K461" s="149"/>
      <c r="L461" s="149"/>
      <c r="M461" s="149"/>
      <c r="N461" s="149"/>
      <c r="O461" s="149"/>
      <c r="P461" s="149"/>
      <c r="Q461" s="149"/>
      <c r="R461" s="149"/>
      <c r="S461" s="149"/>
      <c r="W461" s="149"/>
      <c r="X461" s="149"/>
      <c r="Y461" s="149"/>
      <c r="Z461" s="149"/>
    </row>
    <row r="462" spans="1:26">
      <c r="A462" s="149"/>
      <c r="B462" s="149"/>
      <c r="C462" s="149"/>
      <c r="D462" s="149"/>
      <c r="E462" s="149"/>
      <c r="F462" s="149"/>
      <c r="G462" s="149"/>
      <c r="H462" s="149"/>
      <c r="I462" s="149"/>
      <c r="J462" s="149"/>
      <c r="K462" s="149"/>
      <c r="L462" s="149"/>
      <c r="M462" s="149"/>
      <c r="N462" s="149"/>
      <c r="O462" s="149"/>
      <c r="P462" s="149"/>
      <c r="Q462" s="149"/>
      <c r="R462" s="149"/>
      <c r="S462" s="149"/>
      <c r="W462" s="149"/>
      <c r="X462" s="149"/>
      <c r="Y462" s="149"/>
      <c r="Z462" s="149"/>
    </row>
    <row r="463" spans="1:26">
      <c r="A463" s="149"/>
      <c r="B463" s="149"/>
      <c r="C463" s="149"/>
      <c r="D463" s="149"/>
      <c r="E463" s="149"/>
      <c r="F463" s="149"/>
      <c r="G463" s="149"/>
      <c r="H463" s="149"/>
      <c r="I463" s="149"/>
      <c r="J463" s="149"/>
      <c r="K463" s="149"/>
      <c r="L463" s="149"/>
      <c r="M463" s="149"/>
      <c r="N463" s="149"/>
      <c r="O463" s="149"/>
      <c r="P463" s="149"/>
      <c r="Q463" s="149"/>
      <c r="R463" s="149"/>
      <c r="S463" s="149"/>
      <c r="W463" s="149"/>
      <c r="X463" s="149"/>
      <c r="Y463" s="149"/>
      <c r="Z463" s="149"/>
    </row>
    <row r="464" spans="1:26">
      <c r="A464" s="149"/>
      <c r="B464" s="149"/>
      <c r="C464" s="149"/>
      <c r="D464" s="149"/>
      <c r="E464" s="149"/>
      <c r="F464" s="149"/>
      <c r="G464" s="149"/>
      <c r="H464" s="149"/>
      <c r="I464" s="149"/>
      <c r="J464" s="149"/>
      <c r="K464" s="149"/>
      <c r="L464" s="149"/>
      <c r="M464" s="149"/>
      <c r="N464" s="149"/>
      <c r="O464" s="149"/>
      <c r="P464" s="149"/>
      <c r="Q464" s="149"/>
      <c r="R464" s="149"/>
      <c r="S464" s="149"/>
      <c r="W464" s="149"/>
      <c r="X464" s="149"/>
      <c r="Y464" s="149"/>
      <c r="Z464" s="149"/>
    </row>
    <row r="465" spans="1:26">
      <c r="A465" s="149"/>
      <c r="B465" s="149"/>
      <c r="C465" s="149"/>
      <c r="D465" s="149"/>
      <c r="E465" s="149"/>
      <c r="F465" s="149"/>
      <c r="G465" s="149"/>
      <c r="H465" s="149"/>
      <c r="I465" s="149"/>
      <c r="J465" s="149"/>
      <c r="K465" s="149"/>
      <c r="L465" s="149"/>
      <c r="M465" s="149"/>
      <c r="N465" s="149"/>
      <c r="O465" s="149"/>
      <c r="P465" s="149"/>
      <c r="Q465" s="149"/>
      <c r="R465" s="149"/>
      <c r="S465" s="149"/>
      <c r="W465" s="149"/>
      <c r="X465" s="149"/>
      <c r="Y465" s="149"/>
      <c r="Z465" s="149"/>
    </row>
    <row r="466" spans="1:26">
      <c r="A466" s="149"/>
      <c r="B466" s="149"/>
      <c r="C466" s="149"/>
      <c r="D466" s="149"/>
      <c r="E466" s="149"/>
      <c r="F466" s="149"/>
      <c r="G466" s="149"/>
      <c r="H466" s="149"/>
      <c r="I466" s="149"/>
      <c r="J466" s="149"/>
      <c r="K466" s="149"/>
      <c r="L466" s="149"/>
      <c r="M466" s="149"/>
      <c r="N466" s="149"/>
      <c r="O466" s="149"/>
      <c r="P466" s="149"/>
      <c r="Q466" s="149"/>
      <c r="R466" s="149"/>
      <c r="S466" s="149"/>
      <c r="W466" s="149"/>
      <c r="X466" s="149"/>
      <c r="Y466" s="149"/>
      <c r="Z466" s="149"/>
    </row>
    <row r="467" spans="1:26">
      <c r="A467" s="149"/>
      <c r="B467" s="149"/>
      <c r="C467" s="149"/>
      <c r="D467" s="149"/>
      <c r="E467" s="149"/>
      <c r="F467" s="149"/>
      <c r="G467" s="149"/>
      <c r="H467" s="149"/>
      <c r="I467" s="149"/>
      <c r="J467" s="149"/>
      <c r="K467" s="149"/>
      <c r="L467" s="149"/>
      <c r="M467" s="149"/>
      <c r="N467" s="149"/>
      <c r="O467" s="149"/>
      <c r="P467" s="149"/>
      <c r="Q467" s="149"/>
      <c r="R467" s="149"/>
      <c r="S467" s="149"/>
      <c r="W467" s="149"/>
      <c r="X467" s="149"/>
      <c r="Y467" s="149"/>
      <c r="Z467" s="149"/>
    </row>
    <row r="468" spans="1:26">
      <c r="A468" s="149"/>
      <c r="B468" s="149"/>
      <c r="C468" s="149"/>
      <c r="D468" s="149"/>
      <c r="E468" s="149"/>
      <c r="F468" s="149"/>
      <c r="G468" s="149"/>
      <c r="H468" s="149"/>
      <c r="I468" s="149"/>
      <c r="J468" s="149"/>
      <c r="K468" s="149"/>
      <c r="L468" s="149"/>
      <c r="M468" s="149"/>
      <c r="N468" s="149"/>
      <c r="O468" s="149"/>
      <c r="P468" s="149"/>
      <c r="Q468" s="149"/>
      <c r="R468" s="149"/>
      <c r="S468" s="149"/>
      <c r="W468" s="149"/>
      <c r="X468" s="149"/>
      <c r="Y468" s="149"/>
      <c r="Z468" s="149"/>
    </row>
    <row r="469" spans="1:26">
      <c r="A469" s="149"/>
      <c r="B469" s="149"/>
      <c r="C469" s="149"/>
      <c r="D469" s="149"/>
      <c r="E469" s="149"/>
      <c r="F469" s="149"/>
      <c r="G469" s="149"/>
      <c r="H469" s="149"/>
      <c r="I469" s="149"/>
      <c r="J469" s="149"/>
      <c r="K469" s="149"/>
      <c r="L469" s="149"/>
      <c r="M469" s="149"/>
      <c r="N469" s="149"/>
      <c r="O469" s="149"/>
      <c r="P469" s="149"/>
      <c r="Q469" s="149"/>
      <c r="R469" s="149"/>
      <c r="S469" s="149"/>
      <c r="W469" s="149"/>
      <c r="X469" s="149"/>
      <c r="Y469" s="149"/>
      <c r="Z469" s="149"/>
    </row>
    <row r="470" spans="1:26">
      <c r="A470" s="149"/>
      <c r="B470" s="149"/>
      <c r="C470" s="149"/>
      <c r="D470" s="149"/>
      <c r="E470" s="149"/>
      <c r="F470" s="149"/>
      <c r="G470" s="149"/>
      <c r="H470" s="149"/>
      <c r="I470" s="149"/>
      <c r="J470" s="149"/>
      <c r="K470" s="149"/>
      <c r="L470" s="149"/>
      <c r="M470" s="149"/>
      <c r="N470" s="149"/>
      <c r="O470" s="149"/>
      <c r="P470" s="149"/>
      <c r="Q470" s="149"/>
      <c r="R470" s="149"/>
      <c r="S470" s="149"/>
      <c r="W470" s="149"/>
      <c r="X470" s="149"/>
      <c r="Y470" s="149"/>
      <c r="Z470" s="149"/>
    </row>
    <row r="471" spans="1:26">
      <c r="A471" s="149"/>
      <c r="B471" s="149"/>
      <c r="C471" s="149"/>
      <c r="D471" s="149"/>
      <c r="E471" s="149"/>
      <c r="F471" s="149"/>
      <c r="G471" s="149"/>
      <c r="H471" s="149"/>
      <c r="I471" s="149"/>
      <c r="J471" s="149"/>
      <c r="K471" s="149"/>
      <c r="L471" s="149"/>
      <c r="M471" s="149"/>
      <c r="N471" s="149"/>
      <c r="O471" s="149"/>
      <c r="P471" s="149"/>
      <c r="Q471" s="149"/>
      <c r="R471" s="149"/>
      <c r="S471" s="149"/>
      <c r="W471" s="149"/>
      <c r="X471" s="149"/>
      <c r="Y471" s="149"/>
      <c r="Z471" s="149"/>
    </row>
    <row r="472" spans="1:26">
      <c r="A472" s="149"/>
      <c r="B472" s="149"/>
      <c r="C472" s="149"/>
      <c r="D472" s="149"/>
      <c r="E472" s="149"/>
      <c r="F472" s="149"/>
      <c r="G472" s="149"/>
      <c r="H472" s="149"/>
      <c r="I472" s="149"/>
      <c r="J472" s="149"/>
      <c r="K472" s="149"/>
      <c r="L472" s="149"/>
      <c r="M472" s="149"/>
      <c r="N472" s="149"/>
      <c r="O472" s="149"/>
      <c r="P472" s="149"/>
      <c r="Q472" s="149"/>
      <c r="R472" s="149"/>
      <c r="S472" s="149"/>
      <c r="W472" s="149"/>
      <c r="X472" s="149"/>
      <c r="Y472" s="149"/>
      <c r="Z472" s="149"/>
    </row>
    <row r="473" spans="1:26">
      <c r="A473" s="149"/>
      <c r="B473" s="149"/>
      <c r="C473" s="149"/>
      <c r="D473" s="149"/>
      <c r="E473" s="149"/>
      <c r="F473" s="149"/>
      <c r="G473" s="149"/>
      <c r="H473" s="149"/>
      <c r="I473" s="149"/>
      <c r="J473" s="149"/>
      <c r="K473" s="149"/>
      <c r="L473" s="149"/>
      <c r="M473" s="149"/>
      <c r="N473" s="149"/>
      <c r="O473" s="149"/>
      <c r="P473" s="149"/>
      <c r="Q473" s="149"/>
      <c r="R473" s="149"/>
      <c r="S473" s="149"/>
      <c r="W473" s="149"/>
      <c r="X473" s="149"/>
      <c r="Y473" s="149"/>
      <c r="Z473" s="149"/>
    </row>
    <row r="474" spans="1:26">
      <c r="A474" s="149"/>
      <c r="B474" s="149"/>
      <c r="C474" s="149"/>
      <c r="D474" s="149"/>
      <c r="E474" s="149"/>
      <c r="F474" s="149"/>
      <c r="G474" s="149"/>
      <c r="H474" s="149"/>
      <c r="I474" s="149"/>
      <c r="J474" s="149"/>
      <c r="K474" s="149"/>
      <c r="L474" s="149"/>
      <c r="M474" s="149"/>
      <c r="N474" s="149"/>
      <c r="O474" s="149"/>
      <c r="P474" s="149"/>
      <c r="Q474" s="149"/>
      <c r="R474" s="149"/>
      <c r="S474" s="149"/>
      <c r="W474" s="149"/>
      <c r="X474" s="149"/>
      <c r="Y474" s="149"/>
      <c r="Z474" s="149"/>
    </row>
    <row r="475" spans="1:26">
      <c r="A475" s="149"/>
      <c r="B475" s="149"/>
      <c r="C475" s="149"/>
      <c r="D475" s="149"/>
      <c r="E475" s="149"/>
      <c r="F475" s="149"/>
      <c r="G475" s="149"/>
      <c r="H475" s="149"/>
      <c r="I475" s="149"/>
      <c r="J475" s="149"/>
      <c r="K475" s="149"/>
      <c r="L475" s="149"/>
      <c r="M475" s="149"/>
      <c r="N475" s="149"/>
      <c r="O475" s="149"/>
      <c r="P475" s="149"/>
      <c r="Q475" s="149"/>
      <c r="R475" s="149"/>
      <c r="S475" s="149"/>
      <c r="W475" s="149"/>
      <c r="X475" s="149"/>
      <c r="Y475" s="149"/>
      <c r="Z475" s="149"/>
    </row>
    <row r="476" spans="1:26">
      <c r="A476" s="149"/>
      <c r="B476" s="149"/>
      <c r="C476" s="149"/>
      <c r="D476" s="149"/>
      <c r="E476" s="149"/>
      <c r="F476" s="149"/>
      <c r="G476" s="149"/>
      <c r="H476" s="149"/>
      <c r="I476" s="149"/>
      <c r="J476" s="149"/>
      <c r="K476" s="149"/>
      <c r="L476" s="149"/>
      <c r="M476" s="149"/>
      <c r="N476" s="149"/>
      <c r="O476" s="149"/>
      <c r="P476" s="149"/>
      <c r="Q476" s="149"/>
      <c r="R476" s="149"/>
      <c r="S476" s="149"/>
      <c r="W476" s="149"/>
      <c r="X476" s="149"/>
      <c r="Y476" s="149"/>
      <c r="Z476" s="149"/>
    </row>
    <row r="477" spans="1:26">
      <c r="A477" s="149"/>
      <c r="B477" s="149"/>
      <c r="C477" s="149"/>
      <c r="D477" s="149"/>
      <c r="E477" s="149"/>
      <c r="F477" s="149"/>
      <c r="G477" s="149"/>
      <c r="H477" s="149"/>
      <c r="I477" s="149"/>
      <c r="J477" s="149"/>
      <c r="K477" s="149"/>
      <c r="L477" s="149"/>
      <c r="M477" s="149"/>
      <c r="N477" s="149"/>
      <c r="O477" s="149"/>
      <c r="P477" s="149"/>
      <c r="Q477" s="149"/>
      <c r="R477" s="149"/>
      <c r="S477" s="149"/>
      <c r="W477" s="149"/>
      <c r="X477" s="149"/>
      <c r="Y477" s="149"/>
      <c r="Z477" s="149"/>
    </row>
    <row r="478" spans="1:26">
      <c r="A478" s="149"/>
      <c r="B478" s="149"/>
      <c r="C478" s="149"/>
      <c r="D478" s="149"/>
      <c r="E478" s="149"/>
      <c r="F478" s="149"/>
      <c r="G478" s="149"/>
      <c r="H478" s="149"/>
      <c r="I478" s="149"/>
      <c r="J478" s="149"/>
      <c r="K478" s="149"/>
      <c r="L478" s="149"/>
      <c r="M478" s="149"/>
      <c r="N478" s="149"/>
      <c r="O478" s="149"/>
      <c r="P478" s="149"/>
      <c r="Q478" s="149"/>
      <c r="R478" s="149"/>
      <c r="S478" s="149"/>
      <c r="W478" s="149"/>
      <c r="X478" s="149"/>
      <c r="Y478" s="149"/>
      <c r="Z478" s="149"/>
    </row>
    <row r="479" spans="1:26">
      <c r="A479" s="149"/>
      <c r="B479" s="149"/>
      <c r="C479" s="149"/>
      <c r="D479" s="149"/>
      <c r="E479" s="149"/>
      <c r="F479" s="149"/>
      <c r="G479" s="149"/>
      <c r="H479" s="149"/>
      <c r="I479" s="149"/>
      <c r="J479" s="149"/>
      <c r="K479" s="149"/>
      <c r="L479" s="149"/>
      <c r="M479" s="149"/>
      <c r="N479" s="149"/>
      <c r="O479" s="149"/>
      <c r="P479" s="149"/>
      <c r="Q479" s="149"/>
      <c r="R479" s="149"/>
      <c r="S479" s="149"/>
      <c r="W479" s="149"/>
      <c r="X479" s="149"/>
      <c r="Y479" s="149"/>
      <c r="Z479" s="149"/>
    </row>
    <row r="480" spans="1:26">
      <c r="A480" s="149"/>
      <c r="B480" s="149"/>
      <c r="C480" s="149"/>
      <c r="D480" s="149"/>
      <c r="E480" s="149"/>
      <c r="F480" s="149"/>
      <c r="G480" s="149"/>
      <c r="H480" s="149"/>
      <c r="I480" s="149"/>
      <c r="J480" s="149"/>
      <c r="K480" s="149"/>
      <c r="L480" s="149"/>
      <c r="M480" s="149"/>
      <c r="N480" s="149"/>
      <c r="O480" s="149"/>
      <c r="P480" s="149"/>
      <c r="Q480" s="149"/>
      <c r="R480" s="149"/>
      <c r="S480" s="149"/>
      <c r="W480" s="149"/>
      <c r="X480" s="149"/>
      <c r="Y480" s="149"/>
      <c r="Z480" s="149"/>
    </row>
    <row r="481" spans="1:26">
      <c r="A481" s="149"/>
      <c r="B481" s="149"/>
      <c r="C481" s="149"/>
      <c r="D481" s="149"/>
      <c r="E481" s="149"/>
      <c r="F481" s="149"/>
      <c r="G481" s="149"/>
      <c r="H481" s="149"/>
      <c r="I481" s="149"/>
      <c r="J481" s="149"/>
      <c r="K481" s="149"/>
      <c r="L481" s="149"/>
      <c r="M481" s="149"/>
      <c r="N481" s="149"/>
      <c r="O481" s="149"/>
      <c r="P481" s="149"/>
      <c r="Q481" s="149"/>
      <c r="R481" s="149"/>
      <c r="S481" s="149"/>
      <c r="W481" s="149"/>
      <c r="X481" s="149"/>
      <c r="Y481" s="149"/>
      <c r="Z481" s="149"/>
    </row>
    <row r="482" spans="1:26">
      <c r="A482" s="149"/>
      <c r="B482" s="149"/>
      <c r="C482" s="149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W482" s="149"/>
      <c r="X482" s="149"/>
      <c r="Y482" s="149"/>
      <c r="Z482" s="149"/>
    </row>
    <row r="483" spans="1:26">
      <c r="A483" s="149"/>
      <c r="B483" s="149"/>
      <c r="C483" s="149"/>
      <c r="D483" s="149"/>
      <c r="E483" s="149"/>
      <c r="F483" s="149"/>
      <c r="G483" s="149"/>
      <c r="H483" s="149"/>
      <c r="I483" s="149"/>
      <c r="J483" s="149"/>
      <c r="K483" s="149"/>
      <c r="L483" s="149"/>
      <c r="M483" s="149"/>
      <c r="N483" s="149"/>
      <c r="O483" s="149"/>
      <c r="P483" s="149"/>
      <c r="Q483" s="149"/>
      <c r="R483" s="149"/>
      <c r="S483" s="149"/>
      <c r="W483" s="149"/>
      <c r="X483" s="149"/>
      <c r="Y483" s="149"/>
      <c r="Z483" s="149"/>
    </row>
    <row r="484" spans="1:26">
      <c r="A484" s="149"/>
      <c r="B484" s="149"/>
      <c r="C484" s="149"/>
      <c r="D484" s="149"/>
      <c r="E484" s="149"/>
      <c r="F484" s="149"/>
      <c r="G484" s="149"/>
      <c r="H484" s="149"/>
      <c r="I484" s="149"/>
      <c r="J484" s="149"/>
      <c r="K484" s="149"/>
      <c r="L484" s="149"/>
      <c r="M484" s="149"/>
      <c r="N484" s="149"/>
      <c r="O484" s="149"/>
      <c r="P484" s="149"/>
      <c r="Q484" s="149"/>
      <c r="R484" s="149"/>
      <c r="S484" s="149"/>
      <c r="W484" s="149"/>
      <c r="X484" s="149"/>
      <c r="Y484" s="149"/>
      <c r="Z484" s="149"/>
    </row>
    <row r="485" spans="1:26">
      <c r="A485" s="149"/>
      <c r="B485" s="149"/>
      <c r="C485" s="149"/>
      <c r="D485" s="149"/>
      <c r="E485" s="149"/>
      <c r="F485" s="149"/>
      <c r="G485" s="149"/>
      <c r="H485" s="149"/>
      <c r="I485" s="149"/>
      <c r="J485" s="149"/>
      <c r="K485" s="149"/>
      <c r="L485" s="149"/>
      <c r="M485" s="149"/>
      <c r="N485" s="149"/>
      <c r="O485" s="149"/>
      <c r="P485" s="149"/>
      <c r="Q485" s="149"/>
      <c r="R485" s="149"/>
      <c r="S485" s="149"/>
      <c r="W485" s="149"/>
      <c r="X485" s="149"/>
      <c r="Y485" s="149"/>
      <c r="Z485" s="149"/>
    </row>
    <row r="486" spans="1:26">
      <c r="A486" s="149"/>
      <c r="B486" s="149"/>
      <c r="C486" s="149"/>
      <c r="D486" s="149"/>
      <c r="E486" s="149"/>
      <c r="F486" s="149"/>
      <c r="G486" s="149"/>
      <c r="H486" s="149"/>
      <c r="I486" s="149"/>
      <c r="J486" s="149"/>
      <c r="K486" s="149"/>
      <c r="L486" s="149"/>
      <c r="M486" s="149"/>
      <c r="N486" s="149"/>
      <c r="O486" s="149"/>
      <c r="P486" s="149"/>
      <c r="Q486" s="149"/>
      <c r="R486" s="149"/>
      <c r="S486" s="149"/>
      <c r="W486" s="149"/>
      <c r="X486" s="149"/>
      <c r="Y486" s="149"/>
      <c r="Z486" s="149"/>
    </row>
    <row r="487" spans="1:26">
      <c r="A487" s="149"/>
      <c r="B487" s="149"/>
      <c r="C487" s="149"/>
      <c r="D487" s="149"/>
      <c r="E487" s="149"/>
      <c r="F487" s="149"/>
      <c r="G487" s="149"/>
      <c r="H487" s="149"/>
      <c r="I487" s="149"/>
      <c r="J487" s="149"/>
      <c r="K487" s="149"/>
      <c r="L487" s="149"/>
      <c r="M487" s="149"/>
      <c r="N487" s="149"/>
      <c r="O487" s="149"/>
      <c r="P487" s="149"/>
      <c r="Q487" s="149"/>
      <c r="R487" s="149"/>
      <c r="S487" s="149"/>
      <c r="W487" s="149"/>
      <c r="X487" s="149"/>
      <c r="Y487" s="149"/>
      <c r="Z487" s="149"/>
    </row>
    <row r="488" spans="1:26">
      <c r="A488" s="149"/>
      <c r="B488" s="149"/>
      <c r="C488" s="149"/>
      <c r="D488" s="149"/>
      <c r="E488" s="149"/>
      <c r="F488" s="149"/>
      <c r="G488" s="149"/>
      <c r="H488" s="149"/>
      <c r="I488" s="149"/>
      <c r="J488" s="149"/>
      <c r="K488" s="149"/>
      <c r="L488" s="149"/>
      <c r="M488" s="149"/>
      <c r="N488" s="149"/>
      <c r="O488" s="149"/>
      <c r="P488" s="149"/>
      <c r="Q488" s="149"/>
      <c r="R488" s="149"/>
      <c r="S488" s="149"/>
      <c r="W488" s="149"/>
      <c r="X488" s="149"/>
      <c r="Y488" s="149"/>
      <c r="Z488" s="149"/>
    </row>
    <row r="489" spans="1:26">
      <c r="A489" s="149"/>
      <c r="B489" s="149"/>
      <c r="C489" s="149"/>
      <c r="D489" s="149"/>
      <c r="E489" s="149"/>
      <c r="F489" s="149"/>
      <c r="G489" s="149"/>
      <c r="H489" s="149"/>
      <c r="I489" s="149"/>
      <c r="J489" s="149"/>
      <c r="K489" s="149"/>
      <c r="L489" s="149"/>
      <c r="M489" s="149"/>
      <c r="N489" s="149"/>
      <c r="O489" s="149"/>
      <c r="P489" s="149"/>
      <c r="Q489" s="149"/>
      <c r="R489" s="149"/>
      <c r="S489" s="149"/>
      <c r="W489" s="149"/>
      <c r="X489" s="149"/>
      <c r="Y489" s="149"/>
      <c r="Z489" s="149"/>
    </row>
    <row r="490" spans="1:26">
      <c r="A490" s="149"/>
      <c r="B490" s="149"/>
      <c r="C490" s="149"/>
      <c r="D490" s="149"/>
      <c r="E490" s="149"/>
      <c r="F490" s="149"/>
      <c r="G490" s="149"/>
      <c r="H490" s="149"/>
      <c r="I490" s="149"/>
      <c r="J490" s="149"/>
      <c r="K490" s="149"/>
      <c r="L490" s="149"/>
      <c r="M490" s="149"/>
      <c r="N490" s="149"/>
      <c r="O490" s="149"/>
      <c r="P490" s="149"/>
      <c r="Q490" s="149"/>
      <c r="R490" s="149"/>
      <c r="S490" s="149"/>
      <c r="W490" s="149"/>
      <c r="X490" s="149"/>
      <c r="Y490" s="149"/>
      <c r="Z490" s="149"/>
    </row>
    <row r="491" spans="1:26">
      <c r="A491" s="149"/>
      <c r="B491" s="149"/>
      <c r="C491" s="149"/>
      <c r="D491" s="149"/>
      <c r="E491" s="149"/>
      <c r="F491" s="149"/>
      <c r="G491" s="149"/>
      <c r="H491" s="149"/>
      <c r="I491" s="149"/>
      <c r="J491" s="149"/>
      <c r="K491" s="149"/>
      <c r="L491" s="149"/>
      <c r="M491" s="149"/>
      <c r="N491" s="149"/>
      <c r="O491" s="149"/>
      <c r="P491" s="149"/>
      <c r="Q491" s="149"/>
      <c r="R491" s="149"/>
      <c r="S491" s="149"/>
      <c r="W491" s="149"/>
      <c r="X491" s="149"/>
      <c r="Y491" s="149"/>
      <c r="Z491" s="149"/>
    </row>
    <row r="492" spans="1:26">
      <c r="A492" s="149"/>
      <c r="B492" s="149"/>
      <c r="C492" s="149"/>
      <c r="D492" s="149"/>
      <c r="E492" s="149"/>
      <c r="F492" s="149"/>
      <c r="G492" s="149"/>
      <c r="H492" s="149"/>
      <c r="I492" s="149"/>
      <c r="J492" s="149"/>
      <c r="K492" s="149"/>
      <c r="L492" s="149"/>
      <c r="M492" s="149"/>
      <c r="N492" s="149"/>
      <c r="O492" s="149"/>
      <c r="P492" s="149"/>
      <c r="Q492" s="149"/>
      <c r="R492" s="149"/>
      <c r="S492" s="149"/>
      <c r="W492" s="149"/>
      <c r="X492" s="149"/>
      <c r="Y492" s="149"/>
      <c r="Z492" s="149"/>
    </row>
    <row r="493" spans="1:26">
      <c r="A493" s="149"/>
      <c r="B493" s="149"/>
      <c r="C493" s="149"/>
      <c r="D493" s="149"/>
      <c r="E493" s="149"/>
      <c r="F493" s="149"/>
      <c r="G493" s="149"/>
      <c r="H493" s="149"/>
      <c r="I493" s="149"/>
      <c r="J493" s="149"/>
      <c r="K493" s="149"/>
      <c r="L493" s="149"/>
      <c r="M493" s="149"/>
      <c r="N493" s="149"/>
      <c r="O493" s="149"/>
      <c r="P493" s="149"/>
      <c r="Q493" s="149"/>
      <c r="R493" s="149"/>
      <c r="S493" s="149"/>
      <c r="W493" s="149"/>
      <c r="X493" s="149"/>
      <c r="Y493" s="149"/>
      <c r="Z493" s="149"/>
    </row>
    <row r="494" spans="1:26">
      <c r="A494" s="149"/>
      <c r="B494" s="149"/>
      <c r="C494" s="149"/>
      <c r="D494" s="149"/>
      <c r="E494" s="149"/>
      <c r="F494" s="149"/>
      <c r="G494" s="149"/>
      <c r="H494" s="149"/>
      <c r="I494" s="149"/>
      <c r="J494" s="149"/>
      <c r="K494" s="149"/>
      <c r="L494" s="149"/>
      <c r="M494" s="149"/>
      <c r="N494" s="149"/>
      <c r="O494" s="149"/>
      <c r="P494" s="149"/>
      <c r="Q494" s="149"/>
      <c r="R494" s="149"/>
      <c r="S494" s="149"/>
      <c r="W494" s="149"/>
      <c r="X494" s="149"/>
      <c r="Y494" s="149"/>
      <c r="Z494" s="149"/>
    </row>
    <row r="495" spans="1:26">
      <c r="A495" s="149"/>
      <c r="B495" s="149"/>
      <c r="C495" s="149"/>
      <c r="D495" s="149"/>
      <c r="E495" s="149"/>
      <c r="F495" s="149"/>
      <c r="G495" s="149"/>
      <c r="H495" s="149"/>
      <c r="I495" s="149"/>
      <c r="J495" s="149"/>
      <c r="K495" s="149"/>
      <c r="L495" s="149"/>
      <c r="M495" s="149"/>
      <c r="N495" s="149"/>
      <c r="O495" s="149"/>
      <c r="P495" s="149"/>
      <c r="Q495" s="149"/>
      <c r="R495" s="149"/>
      <c r="S495" s="149"/>
      <c r="W495" s="149"/>
      <c r="X495" s="149"/>
      <c r="Y495" s="149"/>
      <c r="Z495" s="149"/>
    </row>
    <row r="496" spans="1:26">
      <c r="A496" s="149"/>
      <c r="B496" s="149"/>
      <c r="C496" s="149"/>
      <c r="D496" s="149"/>
      <c r="E496" s="149"/>
      <c r="F496" s="149"/>
      <c r="G496" s="149"/>
      <c r="H496" s="149"/>
      <c r="I496" s="149"/>
      <c r="J496" s="149"/>
      <c r="K496" s="149"/>
      <c r="L496" s="149"/>
      <c r="M496" s="149"/>
      <c r="N496" s="149"/>
      <c r="O496" s="149"/>
      <c r="P496" s="149"/>
      <c r="Q496" s="149"/>
      <c r="R496" s="149"/>
      <c r="S496" s="149"/>
      <c r="W496" s="149"/>
      <c r="X496" s="149"/>
      <c r="Y496" s="149"/>
      <c r="Z496" s="149"/>
    </row>
    <row r="497" spans="1:26">
      <c r="A497" s="149"/>
      <c r="B497" s="149"/>
      <c r="C497" s="149"/>
      <c r="D497" s="149"/>
      <c r="E497" s="149"/>
      <c r="F497" s="149"/>
      <c r="G497" s="149"/>
      <c r="H497" s="149"/>
      <c r="I497" s="149"/>
      <c r="J497" s="149"/>
      <c r="K497" s="149"/>
      <c r="L497" s="149"/>
      <c r="M497" s="149"/>
      <c r="N497" s="149"/>
      <c r="O497" s="149"/>
      <c r="P497" s="149"/>
      <c r="Q497" s="149"/>
      <c r="R497" s="149"/>
      <c r="S497" s="149"/>
      <c r="W497" s="149"/>
      <c r="X497" s="149"/>
      <c r="Y497" s="149"/>
      <c r="Z497" s="149"/>
    </row>
    <row r="498" spans="1:26">
      <c r="A498" s="149"/>
      <c r="B498" s="149"/>
      <c r="C498" s="149"/>
      <c r="D498" s="149"/>
      <c r="E498" s="149"/>
      <c r="F498" s="149"/>
      <c r="G498" s="149"/>
      <c r="H498" s="149"/>
      <c r="I498" s="149"/>
      <c r="J498" s="149"/>
      <c r="K498" s="149"/>
      <c r="L498" s="149"/>
      <c r="M498" s="149"/>
      <c r="N498" s="149"/>
      <c r="O498" s="149"/>
      <c r="P498" s="149"/>
      <c r="Q498" s="149"/>
      <c r="R498" s="149"/>
      <c r="S498" s="149"/>
      <c r="W498" s="149"/>
      <c r="X498" s="149"/>
      <c r="Y498" s="149"/>
      <c r="Z498" s="149"/>
    </row>
    <row r="499" spans="1:26">
      <c r="A499" s="149"/>
      <c r="B499" s="149"/>
      <c r="C499" s="149"/>
      <c r="D499" s="149"/>
      <c r="E499" s="149"/>
      <c r="F499" s="149"/>
      <c r="G499" s="149"/>
      <c r="H499" s="149"/>
      <c r="I499" s="149"/>
      <c r="J499" s="149"/>
      <c r="K499" s="149"/>
      <c r="L499" s="149"/>
      <c r="M499" s="149"/>
      <c r="N499" s="149"/>
      <c r="O499" s="149"/>
      <c r="P499" s="149"/>
      <c r="Q499" s="149"/>
      <c r="R499" s="149"/>
      <c r="S499" s="149"/>
      <c r="W499" s="149"/>
      <c r="X499" s="149"/>
      <c r="Y499" s="149"/>
      <c r="Z499" s="149"/>
    </row>
    <row r="500" spans="1:26">
      <c r="A500" s="149"/>
      <c r="B500" s="149"/>
      <c r="C500" s="149"/>
      <c r="D500" s="149"/>
      <c r="E500" s="149"/>
      <c r="F500" s="149"/>
      <c r="G500" s="149"/>
      <c r="H500" s="149"/>
      <c r="I500" s="149"/>
      <c r="J500" s="149"/>
      <c r="K500" s="149"/>
      <c r="L500" s="149"/>
      <c r="M500" s="149"/>
      <c r="N500" s="149"/>
      <c r="O500" s="149"/>
      <c r="P500" s="149"/>
      <c r="Q500" s="149"/>
      <c r="R500" s="149"/>
      <c r="S500" s="149"/>
      <c r="W500" s="149"/>
      <c r="X500" s="149"/>
      <c r="Y500" s="149"/>
      <c r="Z500" s="149"/>
    </row>
    <row r="501" spans="1:26">
      <c r="A501" s="149"/>
      <c r="B501" s="149"/>
      <c r="C501" s="149"/>
      <c r="D501" s="149"/>
      <c r="E501" s="149"/>
      <c r="F501" s="149"/>
      <c r="G501" s="149"/>
      <c r="H501" s="149"/>
      <c r="I501" s="149"/>
      <c r="J501" s="149"/>
      <c r="K501" s="149"/>
      <c r="L501" s="149"/>
      <c r="M501" s="149"/>
      <c r="N501" s="149"/>
      <c r="O501" s="149"/>
      <c r="P501" s="149"/>
      <c r="Q501" s="149"/>
      <c r="R501" s="149"/>
      <c r="S501" s="149"/>
      <c r="W501" s="149"/>
      <c r="X501" s="149"/>
      <c r="Y501" s="149"/>
      <c r="Z501" s="149"/>
    </row>
    <row r="502" spans="1:26">
      <c r="A502" s="149"/>
      <c r="B502" s="149"/>
      <c r="C502" s="149"/>
      <c r="D502" s="149"/>
      <c r="E502" s="149"/>
      <c r="F502" s="149"/>
      <c r="G502" s="149"/>
      <c r="H502" s="149"/>
      <c r="I502" s="149"/>
      <c r="J502" s="149"/>
      <c r="K502" s="149"/>
      <c r="L502" s="149"/>
      <c r="M502" s="149"/>
      <c r="N502" s="149"/>
      <c r="O502" s="149"/>
      <c r="P502" s="149"/>
      <c r="Q502" s="149"/>
      <c r="R502" s="149"/>
      <c r="S502" s="149"/>
      <c r="W502" s="149"/>
      <c r="X502" s="149"/>
      <c r="Y502" s="149"/>
      <c r="Z502" s="149"/>
    </row>
    <row r="503" spans="1:26">
      <c r="A503" s="149"/>
      <c r="B503" s="149"/>
      <c r="C503" s="149"/>
      <c r="D503" s="149"/>
      <c r="E503" s="149"/>
      <c r="F503" s="149"/>
      <c r="G503" s="149"/>
      <c r="H503" s="149"/>
      <c r="I503" s="149"/>
      <c r="J503" s="149"/>
      <c r="K503" s="149"/>
      <c r="L503" s="149"/>
      <c r="M503" s="149"/>
      <c r="N503" s="149"/>
      <c r="O503" s="149"/>
      <c r="P503" s="149"/>
      <c r="Q503" s="149"/>
      <c r="R503" s="149"/>
      <c r="S503" s="149"/>
      <c r="W503" s="149"/>
      <c r="X503" s="149"/>
      <c r="Y503" s="149"/>
      <c r="Z503" s="149"/>
    </row>
    <row r="504" spans="1:26">
      <c r="A504" s="149"/>
      <c r="B504" s="149"/>
      <c r="C504" s="149"/>
      <c r="D504" s="149"/>
      <c r="E504" s="149"/>
      <c r="F504" s="149"/>
      <c r="G504" s="149"/>
      <c r="H504" s="149"/>
      <c r="I504" s="149"/>
      <c r="J504" s="149"/>
      <c r="K504" s="149"/>
      <c r="L504" s="149"/>
      <c r="M504" s="149"/>
      <c r="N504" s="149"/>
      <c r="O504" s="149"/>
      <c r="P504" s="149"/>
      <c r="Q504" s="149"/>
      <c r="R504" s="149"/>
      <c r="S504" s="149"/>
      <c r="W504" s="149"/>
      <c r="X504" s="149"/>
      <c r="Y504" s="149"/>
      <c r="Z504" s="149"/>
    </row>
    <row r="505" spans="1:26">
      <c r="A505" s="149"/>
      <c r="B505" s="149"/>
      <c r="C505" s="149"/>
      <c r="D505" s="149"/>
      <c r="E505" s="149"/>
      <c r="F505" s="149"/>
      <c r="G505" s="149"/>
      <c r="H505" s="149"/>
      <c r="I505" s="149"/>
      <c r="J505" s="149"/>
      <c r="K505" s="149"/>
      <c r="L505" s="149"/>
      <c r="M505" s="149"/>
      <c r="N505" s="149"/>
      <c r="O505" s="149"/>
      <c r="P505" s="149"/>
      <c r="Q505" s="149"/>
      <c r="R505" s="149"/>
      <c r="S505" s="149"/>
      <c r="W505" s="149"/>
      <c r="X505" s="149"/>
      <c r="Y505" s="149"/>
      <c r="Z505" s="149"/>
    </row>
    <row r="506" spans="1:26">
      <c r="A506" s="149"/>
      <c r="B506" s="149"/>
      <c r="C506" s="149"/>
      <c r="D506" s="149"/>
      <c r="E506" s="149"/>
      <c r="F506" s="149"/>
      <c r="G506" s="149"/>
      <c r="H506" s="149"/>
      <c r="I506" s="149"/>
      <c r="J506" s="149"/>
      <c r="K506" s="149"/>
      <c r="L506" s="149"/>
      <c r="M506" s="149"/>
      <c r="N506" s="149"/>
      <c r="O506" s="149"/>
      <c r="P506" s="149"/>
      <c r="Q506" s="149"/>
      <c r="R506" s="149"/>
      <c r="S506" s="149"/>
      <c r="W506" s="149"/>
      <c r="X506" s="149"/>
      <c r="Y506" s="149"/>
      <c r="Z506" s="149"/>
    </row>
    <row r="507" spans="1:26">
      <c r="A507" s="149"/>
      <c r="B507" s="149"/>
      <c r="C507" s="149"/>
      <c r="D507" s="149"/>
      <c r="E507" s="149"/>
      <c r="F507" s="149"/>
      <c r="G507" s="149"/>
      <c r="H507" s="149"/>
      <c r="I507" s="149"/>
      <c r="J507" s="149"/>
      <c r="K507" s="149"/>
      <c r="L507" s="149"/>
      <c r="M507" s="149"/>
      <c r="N507" s="149"/>
      <c r="O507" s="149"/>
      <c r="P507" s="149"/>
      <c r="Q507" s="149"/>
      <c r="R507" s="149"/>
      <c r="S507" s="149"/>
      <c r="W507" s="149"/>
      <c r="X507" s="149"/>
      <c r="Y507" s="149"/>
      <c r="Z507" s="149"/>
    </row>
    <row r="508" spans="1:26">
      <c r="A508" s="149"/>
      <c r="B508" s="149"/>
      <c r="C508" s="149"/>
      <c r="D508" s="149"/>
      <c r="E508" s="149"/>
      <c r="F508" s="149"/>
      <c r="G508" s="149"/>
      <c r="H508" s="149"/>
      <c r="I508" s="149"/>
      <c r="J508" s="149"/>
      <c r="K508" s="149"/>
      <c r="L508" s="149"/>
      <c r="M508" s="149"/>
      <c r="N508" s="149"/>
      <c r="O508" s="149"/>
      <c r="P508" s="149"/>
      <c r="Q508" s="149"/>
      <c r="R508" s="149"/>
      <c r="S508" s="149"/>
      <c r="W508" s="149"/>
      <c r="X508" s="149"/>
      <c r="Y508" s="149"/>
      <c r="Z508" s="149"/>
    </row>
    <row r="509" spans="1:26">
      <c r="A509" s="149"/>
      <c r="B509" s="149"/>
      <c r="C509" s="149"/>
      <c r="D509" s="149"/>
      <c r="E509" s="149"/>
      <c r="F509" s="149"/>
      <c r="G509" s="149"/>
      <c r="H509" s="149"/>
      <c r="I509" s="149"/>
      <c r="J509" s="149"/>
      <c r="K509" s="149"/>
      <c r="L509" s="149"/>
      <c r="M509" s="149"/>
      <c r="N509" s="149"/>
      <c r="O509" s="149"/>
      <c r="P509" s="149"/>
      <c r="Q509" s="149"/>
      <c r="R509" s="149"/>
      <c r="S509" s="149"/>
      <c r="W509" s="149"/>
      <c r="X509" s="149"/>
      <c r="Y509" s="149"/>
      <c r="Z509" s="149"/>
    </row>
    <row r="510" spans="1:26">
      <c r="A510" s="149"/>
      <c r="B510" s="149"/>
      <c r="C510" s="149"/>
      <c r="D510" s="149"/>
      <c r="E510" s="149"/>
      <c r="F510" s="149"/>
      <c r="G510" s="149"/>
      <c r="H510" s="149"/>
      <c r="I510" s="149"/>
      <c r="J510" s="149"/>
      <c r="K510" s="149"/>
      <c r="L510" s="149"/>
      <c r="M510" s="149"/>
      <c r="N510" s="149"/>
      <c r="O510" s="149"/>
      <c r="P510" s="149"/>
      <c r="Q510" s="149"/>
      <c r="R510" s="149"/>
      <c r="S510" s="149"/>
      <c r="W510" s="149"/>
      <c r="X510" s="149"/>
      <c r="Y510" s="149"/>
      <c r="Z510" s="149"/>
    </row>
    <row r="511" spans="1:26">
      <c r="A511" s="149"/>
      <c r="B511" s="149"/>
      <c r="C511" s="149"/>
      <c r="D511" s="149"/>
      <c r="E511" s="149"/>
      <c r="F511" s="149"/>
      <c r="G511" s="149"/>
      <c r="H511" s="149"/>
      <c r="I511" s="149"/>
      <c r="J511" s="149"/>
      <c r="K511" s="149"/>
      <c r="L511" s="149"/>
      <c r="M511" s="149"/>
      <c r="N511" s="149"/>
      <c r="O511" s="149"/>
      <c r="P511" s="149"/>
      <c r="Q511" s="149"/>
      <c r="R511" s="149"/>
      <c r="S511" s="149"/>
      <c r="W511" s="149"/>
      <c r="X511" s="149"/>
      <c r="Y511" s="149"/>
      <c r="Z511" s="149"/>
    </row>
    <row r="512" spans="1:26">
      <c r="A512" s="149"/>
      <c r="B512" s="149"/>
      <c r="C512" s="149"/>
      <c r="D512" s="149"/>
      <c r="E512" s="149"/>
      <c r="F512" s="149"/>
      <c r="G512" s="149"/>
      <c r="H512" s="149"/>
      <c r="I512" s="149"/>
      <c r="J512" s="149"/>
      <c r="K512" s="149"/>
      <c r="L512" s="149"/>
      <c r="M512" s="149"/>
      <c r="N512" s="149"/>
      <c r="O512" s="149"/>
      <c r="P512" s="149"/>
      <c r="Q512" s="149"/>
      <c r="R512" s="149"/>
      <c r="S512" s="149"/>
      <c r="W512" s="149"/>
      <c r="X512" s="149"/>
      <c r="Y512" s="149"/>
      <c r="Z512" s="149"/>
    </row>
    <row r="513" spans="1:26">
      <c r="A513" s="149"/>
      <c r="B513" s="149"/>
      <c r="C513" s="149"/>
      <c r="D513" s="149"/>
      <c r="E513" s="149"/>
      <c r="F513" s="149"/>
      <c r="G513" s="149"/>
      <c r="H513" s="149"/>
      <c r="I513" s="149"/>
      <c r="J513" s="149"/>
      <c r="K513" s="149"/>
      <c r="L513" s="149"/>
      <c r="M513" s="149"/>
      <c r="N513" s="149"/>
      <c r="O513" s="149"/>
      <c r="P513" s="149"/>
      <c r="Q513" s="149"/>
      <c r="R513" s="149"/>
      <c r="S513" s="149"/>
      <c r="W513" s="149"/>
      <c r="X513" s="149"/>
      <c r="Y513" s="149"/>
      <c r="Z513" s="149"/>
    </row>
    <row r="514" spans="1:26">
      <c r="A514" s="149"/>
      <c r="B514" s="149"/>
      <c r="C514" s="149"/>
      <c r="D514" s="149"/>
      <c r="E514" s="149"/>
      <c r="F514" s="149"/>
      <c r="G514" s="149"/>
      <c r="H514" s="149"/>
      <c r="I514" s="149"/>
      <c r="J514" s="149"/>
      <c r="K514" s="149"/>
      <c r="L514" s="149"/>
      <c r="M514" s="149"/>
      <c r="N514" s="149"/>
      <c r="O514" s="149"/>
      <c r="P514" s="149"/>
      <c r="Q514" s="149"/>
      <c r="R514" s="149"/>
      <c r="S514" s="149"/>
      <c r="W514" s="149"/>
      <c r="X514" s="149"/>
      <c r="Y514" s="149"/>
      <c r="Z514" s="149"/>
    </row>
    <row r="515" spans="1:26">
      <c r="A515" s="149"/>
      <c r="B515" s="149"/>
      <c r="C515" s="149"/>
      <c r="D515" s="149"/>
      <c r="E515" s="149"/>
      <c r="F515" s="149"/>
      <c r="G515" s="149"/>
      <c r="H515" s="149"/>
      <c r="I515" s="149"/>
      <c r="J515" s="149"/>
      <c r="K515" s="149"/>
      <c r="L515" s="149"/>
      <c r="M515" s="149"/>
      <c r="N515" s="149"/>
      <c r="O515" s="149"/>
      <c r="P515" s="149"/>
      <c r="Q515" s="149"/>
      <c r="R515" s="149"/>
      <c r="S515" s="149"/>
      <c r="W515" s="149"/>
      <c r="X515" s="149"/>
      <c r="Y515" s="149"/>
      <c r="Z515" s="149"/>
    </row>
    <row r="516" spans="1:26">
      <c r="A516" s="149"/>
      <c r="B516" s="149"/>
      <c r="C516" s="149"/>
      <c r="D516" s="149"/>
      <c r="E516" s="149"/>
      <c r="F516" s="149"/>
      <c r="G516" s="149"/>
      <c r="H516" s="149"/>
      <c r="I516" s="149"/>
      <c r="J516" s="149"/>
      <c r="K516" s="149"/>
      <c r="L516" s="149"/>
      <c r="M516" s="149"/>
      <c r="N516" s="149"/>
      <c r="O516" s="149"/>
      <c r="P516" s="149"/>
      <c r="Q516" s="149"/>
      <c r="R516" s="149"/>
      <c r="S516" s="149"/>
      <c r="W516" s="149"/>
      <c r="X516" s="149"/>
      <c r="Y516" s="149"/>
      <c r="Z516" s="149"/>
    </row>
    <row r="517" spans="1:26">
      <c r="A517" s="149"/>
      <c r="B517" s="149"/>
      <c r="C517" s="149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W517" s="149"/>
      <c r="X517" s="149"/>
      <c r="Y517" s="149"/>
      <c r="Z517" s="149"/>
    </row>
    <row r="518" spans="1:26">
      <c r="A518" s="149"/>
      <c r="B518" s="149"/>
      <c r="C518" s="149"/>
      <c r="D518" s="149"/>
      <c r="E518" s="149"/>
      <c r="F518" s="149"/>
      <c r="G518" s="149"/>
      <c r="H518" s="149"/>
      <c r="I518" s="149"/>
      <c r="J518" s="149"/>
      <c r="K518" s="149"/>
      <c r="L518" s="149"/>
      <c r="M518" s="149"/>
      <c r="N518" s="149"/>
      <c r="O518" s="149"/>
      <c r="P518" s="149"/>
      <c r="Q518" s="149"/>
      <c r="R518" s="149"/>
      <c r="S518" s="149"/>
      <c r="W518" s="149"/>
      <c r="X518" s="149"/>
      <c r="Y518" s="149"/>
      <c r="Z518" s="149"/>
    </row>
    <row r="519" spans="1:26">
      <c r="A519" s="149"/>
      <c r="B519" s="149"/>
      <c r="C519" s="149"/>
      <c r="D519" s="149"/>
      <c r="E519" s="149"/>
      <c r="F519" s="149"/>
      <c r="G519" s="149"/>
      <c r="H519" s="149"/>
      <c r="I519" s="149"/>
      <c r="J519" s="149"/>
      <c r="K519" s="149"/>
      <c r="L519" s="149"/>
      <c r="M519" s="149"/>
      <c r="N519" s="149"/>
      <c r="O519" s="149"/>
      <c r="P519" s="149"/>
      <c r="Q519" s="149"/>
      <c r="R519" s="149"/>
      <c r="S519" s="149"/>
      <c r="W519" s="149"/>
      <c r="X519" s="149"/>
      <c r="Y519" s="149"/>
      <c r="Z519" s="149"/>
    </row>
    <row r="520" spans="1:26">
      <c r="A520" s="149"/>
      <c r="B520" s="149"/>
      <c r="C520" s="149"/>
      <c r="D520" s="149"/>
      <c r="E520" s="149"/>
      <c r="F520" s="149"/>
      <c r="G520" s="149"/>
      <c r="H520" s="149"/>
      <c r="I520" s="149"/>
      <c r="J520" s="149"/>
      <c r="K520" s="149"/>
      <c r="L520" s="149"/>
      <c r="M520" s="149"/>
      <c r="N520" s="149"/>
      <c r="O520" s="149"/>
      <c r="P520" s="149"/>
      <c r="Q520" s="149"/>
      <c r="R520" s="149"/>
      <c r="S520" s="149"/>
      <c r="W520" s="149"/>
      <c r="X520" s="149"/>
      <c r="Y520" s="149"/>
      <c r="Z520" s="149"/>
    </row>
    <row r="521" spans="1:26">
      <c r="A521" s="149"/>
      <c r="B521" s="149"/>
      <c r="C521" s="149"/>
      <c r="D521" s="149"/>
      <c r="E521" s="149"/>
      <c r="F521" s="149"/>
      <c r="G521" s="149"/>
      <c r="H521" s="149"/>
      <c r="I521" s="149"/>
      <c r="J521" s="149"/>
      <c r="K521" s="149"/>
      <c r="L521" s="149"/>
      <c r="M521" s="149"/>
      <c r="N521" s="149"/>
      <c r="O521" s="149"/>
      <c r="P521" s="149"/>
      <c r="Q521" s="149"/>
      <c r="R521" s="149"/>
      <c r="S521" s="149"/>
      <c r="W521" s="149"/>
      <c r="X521" s="149"/>
      <c r="Y521" s="149"/>
      <c r="Z521" s="149"/>
    </row>
    <row r="522" spans="1:26">
      <c r="A522" s="149"/>
      <c r="B522" s="149"/>
      <c r="C522" s="149"/>
      <c r="D522" s="149"/>
      <c r="E522" s="149"/>
      <c r="F522" s="149"/>
      <c r="G522" s="149"/>
      <c r="H522" s="149"/>
      <c r="I522" s="149"/>
      <c r="J522" s="149"/>
      <c r="K522" s="149"/>
      <c r="L522" s="149"/>
      <c r="M522" s="149"/>
      <c r="N522" s="149"/>
      <c r="O522" s="149"/>
      <c r="P522" s="149"/>
      <c r="Q522" s="149"/>
      <c r="R522" s="149"/>
      <c r="S522" s="149"/>
      <c r="W522" s="149"/>
      <c r="X522" s="149"/>
      <c r="Y522" s="149"/>
      <c r="Z522" s="149"/>
    </row>
    <row r="523" spans="1:26">
      <c r="A523" s="149"/>
      <c r="B523" s="149"/>
      <c r="C523" s="149"/>
      <c r="D523" s="149"/>
      <c r="E523" s="149"/>
      <c r="F523" s="149"/>
      <c r="G523" s="149"/>
      <c r="H523" s="149"/>
      <c r="I523" s="149"/>
      <c r="J523" s="149"/>
      <c r="K523" s="149"/>
      <c r="L523" s="149"/>
      <c r="M523" s="149"/>
      <c r="N523" s="149"/>
      <c r="O523" s="149"/>
      <c r="P523" s="149"/>
      <c r="Q523" s="149"/>
      <c r="R523" s="149"/>
      <c r="S523" s="149"/>
      <c r="W523" s="149"/>
      <c r="X523" s="149"/>
      <c r="Y523" s="149"/>
      <c r="Z523" s="149"/>
    </row>
    <row r="524" spans="1:26">
      <c r="A524" s="149"/>
      <c r="B524" s="149"/>
      <c r="C524" s="149"/>
      <c r="D524" s="149"/>
      <c r="E524" s="149"/>
      <c r="F524" s="149"/>
      <c r="G524" s="149"/>
      <c r="H524" s="149"/>
      <c r="I524" s="149"/>
      <c r="J524" s="149"/>
      <c r="K524" s="149"/>
      <c r="L524" s="149"/>
      <c r="M524" s="149"/>
      <c r="N524" s="149"/>
      <c r="O524" s="149"/>
      <c r="P524" s="149"/>
      <c r="Q524" s="149"/>
      <c r="R524" s="149"/>
      <c r="S524" s="149"/>
      <c r="W524" s="149"/>
      <c r="X524" s="149"/>
      <c r="Y524" s="149"/>
      <c r="Z524" s="149"/>
    </row>
    <row r="525" spans="1:26">
      <c r="A525" s="149"/>
      <c r="B525" s="149"/>
      <c r="C525" s="149"/>
      <c r="D525" s="149"/>
      <c r="E525" s="149"/>
      <c r="F525" s="149"/>
      <c r="G525" s="149"/>
      <c r="H525" s="149"/>
      <c r="I525" s="149"/>
      <c r="J525" s="149"/>
      <c r="K525" s="149"/>
      <c r="L525" s="149"/>
      <c r="M525" s="149"/>
      <c r="N525" s="149"/>
      <c r="O525" s="149"/>
      <c r="P525" s="149"/>
      <c r="Q525" s="149"/>
      <c r="R525" s="149"/>
      <c r="S525" s="149"/>
      <c r="W525" s="149"/>
      <c r="X525" s="149"/>
      <c r="Y525" s="149"/>
      <c r="Z525" s="149"/>
    </row>
    <row r="526" spans="1:26">
      <c r="A526" s="149"/>
      <c r="B526" s="149"/>
      <c r="C526" s="149"/>
      <c r="D526" s="149"/>
      <c r="E526" s="149"/>
      <c r="F526" s="149"/>
      <c r="G526" s="149"/>
      <c r="H526" s="149"/>
      <c r="I526" s="149"/>
      <c r="J526" s="149"/>
      <c r="K526" s="149"/>
      <c r="L526" s="149"/>
      <c r="M526" s="149"/>
      <c r="N526" s="149"/>
      <c r="O526" s="149"/>
      <c r="P526" s="149"/>
      <c r="Q526" s="149"/>
      <c r="R526" s="149"/>
      <c r="S526" s="149"/>
      <c r="W526" s="149"/>
      <c r="X526" s="149"/>
      <c r="Y526" s="149"/>
      <c r="Z526" s="149"/>
    </row>
    <row r="527" spans="1:26">
      <c r="A527" s="149"/>
      <c r="B527" s="149"/>
      <c r="C527" s="149"/>
      <c r="D527" s="149"/>
      <c r="E527" s="149"/>
      <c r="F527" s="149"/>
      <c r="G527" s="149"/>
      <c r="H527" s="149"/>
      <c r="I527" s="149"/>
      <c r="J527" s="149"/>
      <c r="K527" s="149"/>
      <c r="L527" s="149"/>
      <c r="M527" s="149"/>
      <c r="N527" s="149"/>
      <c r="O527" s="149"/>
      <c r="P527" s="149"/>
      <c r="Q527" s="149"/>
      <c r="R527" s="149"/>
      <c r="S527" s="149"/>
      <c r="W527" s="149"/>
      <c r="X527" s="149"/>
      <c r="Y527" s="149"/>
      <c r="Z527" s="149"/>
    </row>
    <row r="528" spans="1:26">
      <c r="A528" s="149"/>
      <c r="B528" s="149"/>
      <c r="C528" s="149"/>
      <c r="D528" s="149"/>
      <c r="E528" s="149"/>
      <c r="F528" s="149"/>
      <c r="G528" s="149"/>
      <c r="H528" s="149"/>
      <c r="I528" s="149"/>
      <c r="J528" s="149"/>
      <c r="K528" s="149"/>
      <c r="L528" s="149"/>
      <c r="M528" s="149"/>
      <c r="N528" s="149"/>
      <c r="O528" s="149"/>
      <c r="P528" s="149"/>
      <c r="Q528" s="149"/>
      <c r="R528" s="149"/>
      <c r="S528" s="149"/>
      <c r="W528" s="149"/>
      <c r="X528" s="149"/>
      <c r="Y528" s="149"/>
      <c r="Z528" s="149"/>
    </row>
    <row r="529" spans="1:26">
      <c r="A529" s="149"/>
      <c r="B529" s="149"/>
      <c r="C529" s="149"/>
      <c r="D529" s="149"/>
      <c r="E529" s="149"/>
      <c r="F529" s="149"/>
      <c r="G529" s="149"/>
      <c r="H529" s="149"/>
      <c r="I529" s="149"/>
      <c r="J529" s="149"/>
      <c r="K529" s="149"/>
      <c r="L529" s="149"/>
      <c r="M529" s="149"/>
      <c r="N529" s="149"/>
      <c r="O529" s="149"/>
      <c r="P529" s="149"/>
      <c r="Q529" s="149"/>
      <c r="R529" s="149"/>
      <c r="S529" s="149"/>
      <c r="W529" s="149"/>
      <c r="X529" s="149"/>
      <c r="Y529" s="149"/>
      <c r="Z529" s="149"/>
    </row>
    <row r="530" spans="1:26">
      <c r="A530" s="149"/>
      <c r="B530" s="149"/>
      <c r="C530" s="149"/>
      <c r="D530" s="149"/>
      <c r="E530" s="149"/>
      <c r="F530" s="149"/>
      <c r="G530" s="149"/>
      <c r="H530" s="149"/>
      <c r="I530" s="149"/>
      <c r="J530" s="149"/>
      <c r="K530" s="149"/>
      <c r="L530" s="149"/>
      <c r="M530" s="149"/>
      <c r="N530" s="149"/>
      <c r="O530" s="149"/>
      <c r="P530" s="149"/>
      <c r="Q530" s="149"/>
      <c r="R530" s="149"/>
      <c r="S530" s="149"/>
      <c r="W530" s="149"/>
      <c r="X530" s="149"/>
      <c r="Y530" s="149"/>
      <c r="Z530" s="149"/>
    </row>
    <row r="531" spans="1:26">
      <c r="A531" s="149"/>
      <c r="B531" s="149"/>
      <c r="C531" s="149"/>
      <c r="D531" s="149"/>
      <c r="E531" s="149"/>
      <c r="F531" s="149"/>
      <c r="G531" s="149"/>
      <c r="H531" s="149"/>
      <c r="I531" s="149"/>
      <c r="J531" s="149"/>
      <c r="K531" s="149"/>
      <c r="L531" s="149"/>
      <c r="M531" s="149"/>
      <c r="N531" s="149"/>
      <c r="O531" s="149"/>
      <c r="P531" s="149"/>
      <c r="Q531" s="149"/>
      <c r="R531" s="149"/>
      <c r="S531" s="149"/>
      <c r="W531" s="149"/>
      <c r="X531" s="149"/>
      <c r="Y531" s="149"/>
      <c r="Z531" s="149"/>
    </row>
    <row r="532" spans="1:26">
      <c r="A532" s="149"/>
      <c r="B532" s="149"/>
      <c r="C532" s="149"/>
      <c r="D532" s="149"/>
      <c r="E532" s="149"/>
      <c r="F532" s="149"/>
      <c r="G532" s="149"/>
      <c r="H532" s="149"/>
      <c r="I532" s="149"/>
      <c r="J532" s="149"/>
      <c r="K532" s="149"/>
      <c r="L532" s="149"/>
      <c r="M532" s="149"/>
      <c r="N532" s="149"/>
      <c r="O532" s="149"/>
      <c r="P532" s="149"/>
      <c r="Q532" s="149"/>
      <c r="R532" s="149"/>
      <c r="S532" s="149"/>
      <c r="W532" s="149"/>
      <c r="X532" s="149"/>
      <c r="Y532" s="149"/>
      <c r="Z532" s="149"/>
    </row>
    <row r="533" spans="1:26">
      <c r="A533" s="149"/>
      <c r="B533" s="149"/>
      <c r="C533" s="149"/>
      <c r="D533" s="149"/>
      <c r="E533" s="149"/>
      <c r="F533" s="149"/>
      <c r="G533" s="149"/>
      <c r="H533" s="149"/>
      <c r="I533" s="149"/>
      <c r="J533" s="149"/>
      <c r="K533" s="149"/>
      <c r="L533" s="149"/>
      <c r="M533" s="149"/>
      <c r="N533" s="149"/>
      <c r="O533" s="149"/>
      <c r="P533" s="149"/>
      <c r="Q533" s="149"/>
      <c r="R533" s="149"/>
      <c r="S533" s="149"/>
      <c r="W533" s="149"/>
      <c r="X533" s="149"/>
      <c r="Y533" s="149"/>
      <c r="Z533" s="149"/>
    </row>
    <row r="534" spans="1:26">
      <c r="A534" s="149"/>
      <c r="B534" s="149"/>
      <c r="C534" s="149"/>
      <c r="D534" s="149"/>
      <c r="E534" s="149"/>
      <c r="F534" s="149"/>
      <c r="G534" s="149"/>
      <c r="H534" s="149"/>
      <c r="I534" s="149"/>
      <c r="J534" s="149"/>
      <c r="K534" s="149"/>
      <c r="L534" s="149"/>
      <c r="M534" s="149"/>
      <c r="N534" s="149"/>
      <c r="O534" s="149"/>
      <c r="P534" s="149"/>
      <c r="Q534" s="149"/>
      <c r="R534" s="149"/>
      <c r="S534" s="149"/>
      <c r="W534" s="149"/>
      <c r="X534" s="149"/>
      <c r="Y534" s="149"/>
      <c r="Z534" s="149"/>
    </row>
    <row r="535" spans="1:26">
      <c r="A535" s="149"/>
      <c r="B535" s="149"/>
      <c r="C535" s="149"/>
      <c r="D535" s="149"/>
      <c r="E535" s="149"/>
      <c r="F535" s="149"/>
      <c r="G535" s="149"/>
      <c r="H535" s="149"/>
      <c r="I535" s="149"/>
      <c r="J535" s="149"/>
      <c r="K535" s="149"/>
      <c r="L535" s="149"/>
      <c r="M535" s="149"/>
      <c r="N535" s="149"/>
      <c r="O535" s="149"/>
      <c r="P535" s="149"/>
      <c r="Q535" s="149"/>
      <c r="R535" s="149"/>
      <c r="S535" s="149"/>
      <c r="W535" s="149"/>
      <c r="X535" s="149"/>
      <c r="Y535" s="149"/>
      <c r="Z535" s="149"/>
    </row>
    <row r="536" spans="1:26">
      <c r="A536" s="149"/>
      <c r="B536" s="149"/>
      <c r="C536" s="149"/>
      <c r="D536" s="149"/>
      <c r="E536" s="149"/>
      <c r="F536" s="149"/>
      <c r="G536" s="149"/>
      <c r="H536" s="149"/>
      <c r="I536" s="149"/>
      <c r="J536" s="149"/>
      <c r="K536" s="149"/>
      <c r="L536" s="149"/>
      <c r="M536" s="149"/>
      <c r="N536" s="149"/>
      <c r="O536" s="149"/>
      <c r="P536" s="149"/>
      <c r="Q536" s="149"/>
      <c r="R536" s="149"/>
      <c r="S536" s="149"/>
      <c r="W536" s="149"/>
      <c r="X536" s="149"/>
      <c r="Y536" s="149"/>
      <c r="Z536" s="149"/>
    </row>
    <row r="537" spans="1:26">
      <c r="A537" s="149"/>
      <c r="B537" s="149"/>
      <c r="C537" s="149"/>
      <c r="D537" s="149"/>
      <c r="E537" s="149"/>
      <c r="F537" s="149"/>
      <c r="G537" s="149"/>
      <c r="H537" s="149"/>
      <c r="I537" s="149"/>
      <c r="J537" s="149"/>
      <c r="K537" s="149"/>
      <c r="L537" s="149"/>
      <c r="M537" s="149"/>
      <c r="N537" s="149"/>
      <c r="O537" s="149"/>
      <c r="P537" s="149"/>
      <c r="Q537" s="149"/>
      <c r="R537" s="149"/>
      <c r="S537" s="149"/>
      <c r="W537" s="149"/>
      <c r="X537" s="149"/>
      <c r="Y537" s="149"/>
      <c r="Z537" s="149"/>
    </row>
    <row r="538" spans="1:26">
      <c r="A538" s="149"/>
      <c r="B538" s="149"/>
      <c r="C538" s="149"/>
      <c r="D538" s="149"/>
      <c r="E538" s="149"/>
      <c r="F538" s="149"/>
      <c r="G538" s="149"/>
      <c r="H538" s="149"/>
      <c r="I538" s="149"/>
      <c r="J538" s="149"/>
      <c r="K538" s="149"/>
      <c r="L538" s="149"/>
      <c r="M538" s="149"/>
      <c r="N538" s="149"/>
      <c r="O538" s="149"/>
      <c r="P538" s="149"/>
      <c r="Q538" s="149"/>
      <c r="R538" s="149"/>
      <c r="S538" s="149"/>
      <c r="W538" s="149"/>
      <c r="X538" s="149"/>
      <c r="Y538" s="149"/>
      <c r="Z538" s="149"/>
    </row>
    <row r="539" spans="1:26">
      <c r="A539" s="149"/>
      <c r="B539" s="149"/>
      <c r="C539" s="149"/>
      <c r="D539" s="149"/>
      <c r="E539" s="149"/>
      <c r="F539" s="149"/>
      <c r="G539" s="149"/>
      <c r="H539" s="149"/>
      <c r="I539" s="149"/>
      <c r="J539" s="149"/>
      <c r="K539" s="149"/>
      <c r="L539" s="149"/>
      <c r="M539" s="149"/>
      <c r="N539" s="149"/>
      <c r="O539" s="149"/>
      <c r="P539" s="149"/>
      <c r="Q539" s="149"/>
      <c r="R539" s="149"/>
      <c r="S539" s="149"/>
      <c r="W539" s="149"/>
      <c r="X539" s="149"/>
      <c r="Y539" s="149"/>
      <c r="Z539" s="149"/>
    </row>
    <row r="540" spans="1:26">
      <c r="A540" s="149"/>
      <c r="B540" s="149"/>
      <c r="C540" s="149"/>
      <c r="D540" s="149"/>
      <c r="E540" s="149"/>
      <c r="F540" s="149"/>
      <c r="G540" s="149"/>
      <c r="H540" s="149"/>
      <c r="I540" s="149"/>
      <c r="J540" s="149"/>
      <c r="K540" s="149"/>
      <c r="L540" s="149"/>
      <c r="M540" s="149"/>
      <c r="N540" s="149"/>
      <c r="O540" s="149"/>
      <c r="P540" s="149"/>
      <c r="Q540" s="149"/>
      <c r="R540" s="149"/>
      <c r="S540" s="149"/>
      <c r="W540" s="149"/>
      <c r="X540" s="149"/>
      <c r="Y540" s="149"/>
      <c r="Z540" s="149"/>
    </row>
    <row r="541" spans="1:26">
      <c r="A541" s="149"/>
      <c r="B541" s="149"/>
      <c r="C541" s="149"/>
      <c r="D541" s="149"/>
      <c r="E541" s="149"/>
      <c r="F541" s="149"/>
      <c r="G541" s="149"/>
      <c r="H541" s="149"/>
      <c r="I541" s="149"/>
      <c r="J541" s="149"/>
      <c r="K541" s="149"/>
      <c r="L541" s="149"/>
      <c r="M541" s="149"/>
      <c r="N541" s="149"/>
      <c r="O541" s="149"/>
      <c r="P541" s="149"/>
      <c r="Q541" s="149"/>
      <c r="R541" s="149"/>
      <c r="S541" s="149"/>
      <c r="W541" s="149"/>
      <c r="X541" s="149"/>
      <c r="Y541" s="149"/>
      <c r="Z541" s="149"/>
    </row>
    <row r="542" spans="1:26">
      <c r="A542" s="149"/>
      <c r="B542" s="149"/>
      <c r="C542" s="149"/>
      <c r="D542" s="149"/>
      <c r="E542" s="149"/>
      <c r="F542" s="149"/>
      <c r="G542" s="149"/>
      <c r="H542" s="149"/>
      <c r="I542" s="149"/>
      <c r="J542" s="149"/>
      <c r="K542" s="149"/>
      <c r="L542" s="149"/>
      <c r="M542" s="149"/>
      <c r="N542" s="149"/>
      <c r="O542" s="149"/>
      <c r="P542" s="149"/>
      <c r="Q542" s="149"/>
      <c r="R542" s="149"/>
      <c r="S542" s="149"/>
      <c r="W542" s="149"/>
      <c r="X542" s="149"/>
      <c r="Y542" s="149"/>
      <c r="Z542" s="149"/>
    </row>
    <row r="543" spans="1:26">
      <c r="A543" s="149"/>
      <c r="B543" s="149"/>
      <c r="C543" s="149"/>
      <c r="D543" s="149"/>
      <c r="E543" s="149"/>
      <c r="F543" s="149"/>
      <c r="G543" s="149"/>
      <c r="H543" s="149"/>
      <c r="I543" s="149"/>
      <c r="J543" s="149"/>
      <c r="K543" s="149"/>
      <c r="L543" s="149"/>
      <c r="M543" s="149"/>
      <c r="N543" s="149"/>
      <c r="O543" s="149"/>
      <c r="P543" s="149"/>
      <c r="Q543" s="149"/>
      <c r="R543" s="149"/>
      <c r="S543" s="149"/>
      <c r="W543" s="149"/>
      <c r="X543" s="149"/>
      <c r="Y543" s="149"/>
      <c r="Z543" s="149"/>
    </row>
    <row r="544" spans="1:26">
      <c r="A544" s="149"/>
      <c r="B544" s="149"/>
      <c r="C544" s="149"/>
      <c r="D544" s="149"/>
      <c r="E544" s="149"/>
      <c r="F544" s="149"/>
      <c r="G544" s="149"/>
      <c r="H544" s="149"/>
      <c r="I544" s="149"/>
      <c r="J544" s="149"/>
      <c r="K544" s="149"/>
      <c r="L544" s="149"/>
      <c r="M544" s="149"/>
      <c r="N544" s="149"/>
      <c r="O544" s="149"/>
      <c r="P544" s="149"/>
      <c r="Q544" s="149"/>
      <c r="R544" s="149"/>
      <c r="S544" s="149"/>
      <c r="W544" s="149"/>
      <c r="X544" s="149"/>
      <c r="Y544" s="149"/>
      <c r="Z544" s="149"/>
    </row>
    <row r="545" spans="1:26">
      <c r="A545" s="149"/>
      <c r="B545" s="149"/>
      <c r="C545" s="149"/>
      <c r="D545" s="149"/>
      <c r="E545" s="149"/>
      <c r="F545" s="149"/>
      <c r="G545" s="149"/>
      <c r="H545" s="149"/>
      <c r="I545" s="149"/>
      <c r="J545" s="149"/>
      <c r="K545" s="149"/>
      <c r="L545" s="149"/>
      <c r="M545" s="149"/>
      <c r="N545" s="149"/>
      <c r="O545" s="149"/>
      <c r="P545" s="149"/>
      <c r="Q545" s="149"/>
      <c r="R545" s="149"/>
      <c r="S545" s="149"/>
      <c r="W545" s="149"/>
      <c r="X545" s="149"/>
      <c r="Y545" s="149"/>
      <c r="Z545" s="149"/>
    </row>
    <row r="546" spans="1:26">
      <c r="A546" s="149"/>
      <c r="B546" s="149"/>
      <c r="C546" s="149"/>
      <c r="D546" s="149"/>
      <c r="E546" s="149"/>
      <c r="F546" s="149"/>
      <c r="G546" s="149"/>
      <c r="H546" s="149"/>
      <c r="I546" s="149"/>
      <c r="J546" s="149"/>
      <c r="K546" s="149"/>
      <c r="L546" s="149"/>
      <c r="M546" s="149"/>
      <c r="N546" s="149"/>
      <c r="O546" s="149"/>
      <c r="P546" s="149"/>
      <c r="Q546" s="149"/>
      <c r="R546" s="149"/>
      <c r="S546" s="149"/>
      <c r="W546" s="149"/>
      <c r="X546" s="149"/>
      <c r="Y546" s="149"/>
      <c r="Z546" s="149"/>
    </row>
    <row r="547" spans="1:26">
      <c r="A547" s="149"/>
      <c r="B547" s="149"/>
      <c r="C547" s="149"/>
      <c r="D547" s="149"/>
      <c r="E547" s="149"/>
      <c r="F547" s="149"/>
      <c r="G547" s="149"/>
      <c r="H547" s="149"/>
      <c r="I547" s="149"/>
      <c r="J547" s="149"/>
      <c r="K547" s="149"/>
      <c r="L547" s="149"/>
      <c r="M547" s="149"/>
      <c r="N547" s="149"/>
      <c r="O547" s="149"/>
      <c r="P547" s="149"/>
      <c r="Q547" s="149"/>
      <c r="R547" s="149"/>
      <c r="S547" s="149"/>
      <c r="W547" s="149"/>
      <c r="X547" s="149"/>
      <c r="Y547" s="149"/>
      <c r="Z547" s="149"/>
    </row>
    <row r="548" spans="1:26">
      <c r="A548" s="149"/>
      <c r="B548" s="149"/>
      <c r="C548" s="149"/>
      <c r="D548" s="149"/>
      <c r="E548" s="149"/>
      <c r="F548" s="149"/>
      <c r="G548" s="149"/>
      <c r="H548" s="149"/>
      <c r="I548" s="149"/>
      <c r="J548" s="149"/>
      <c r="K548" s="149"/>
      <c r="L548" s="149"/>
      <c r="M548" s="149"/>
      <c r="N548" s="149"/>
      <c r="O548" s="149"/>
      <c r="P548" s="149"/>
      <c r="Q548" s="149"/>
      <c r="R548" s="149"/>
      <c r="S548" s="149"/>
      <c r="W548" s="149"/>
      <c r="X548" s="149"/>
      <c r="Y548" s="149"/>
      <c r="Z548" s="149"/>
    </row>
    <row r="549" spans="1:26">
      <c r="A549" s="149"/>
      <c r="B549" s="149"/>
      <c r="C549" s="149"/>
      <c r="D549" s="149"/>
      <c r="E549" s="149"/>
      <c r="F549" s="149"/>
      <c r="G549" s="149"/>
      <c r="H549" s="149"/>
      <c r="I549" s="149"/>
      <c r="J549" s="149"/>
      <c r="K549" s="149"/>
      <c r="L549" s="149"/>
      <c r="M549" s="149"/>
      <c r="N549" s="149"/>
      <c r="O549" s="149"/>
      <c r="P549" s="149"/>
      <c r="Q549" s="149"/>
      <c r="R549" s="149"/>
      <c r="S549" s="149"/>
      <c r="W549" s="149"/>
      <c r="X549" s="149"/>
      <c r="Y549" s="149"/>
      <c r="Z549" s="149"/>
    </row>
    <row r="550" spans="1:26">
      <c r="A550" s="149"/>
      <c r="B550" s="149"/>
      <c r="C550" s="149"/>
      <c r="D550" s="149"/>
      <c r="E550" s="149"/>
      <c r="F550" s="149"/>
      <c r="G550" s="149"/>
      <c r="H550" s="149"/>
      <c r="I550" s="149"/>
      <c r="J550" s="149"/>
      <c r="K550" s="149"/>
      <c r="L550" s="149"/>
      <c r="M550" s="149"/>
      <c r="N550" s="149"/>
      <c r="O550" s="149"/>
      <c r="P550" s="149"/>
      <c r="Q550" s="149"/>
      <c r="R550" s="149"/>
      <c r="S550" s="149"/>
      <c r="W550" s="149"/>
      <c r="X550" s="149"/>
      <c r="Y550" s="149"/>
      <c r="Z550" s="149"/>
    </row>
    <row r="551" spans="1:26">
      <c r="A551" s="149"/>
      <c r="B551" s="149"/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W551" s="149"/>
      <c r="X551" s="149"/>
      <c r="Y551" s="149"/>
      <c r="Z551" s="149"/>
    </row>
    <row r="552" spans="1:26">
      <c r="A552" s="149"/>
      <c r="B552" s="149"/>
      <c r="C552" s="149"/>
      <c r="D552" s="149"/>
      <c r="E552" s="149"/>
      <c r="F552" s="149"/>
      <c r="G552" s="149"/>
      <c r="H552" s="149"/>
      <c r="I552" s="149"/>
      <c r="J552" s="149"/>
      <c r="K552" s="149"/>
      <c r="L552" s="149"/>
      <c r="M552" s="149"/>
      <c r="N552" s="149"/>
      <c r="O552" s="149"/>
      <c r="P552" s="149"/>
      <c r="Q552" s="149"/>
      <c r="R552" s="149"/>
      <c r="S552" s="149"/>
      <c r="W552" s="149"/>
      <c r="X552" s="149"/>
      <c r="Y552" s="149"/>
      <c r="Z552" s="149"/>
    </row>
    <row r="553" spans="1:26">
      <c r="A553" s="149"/>
      <c r="B553" s="149"/>
      <c r="C553" s="149"/>
      <c r="D553" s="149"/>
      <c r="E553" s="149"/>
      <c r="F553" s="149"/>
      <c r="G553" s="149"/>
      <c r="H553" s="149"/>
      <c r="I553" s="149"/>
      <c r="J553" s="149"/>
      <c r="K553" s="149"/>
      <c r="L553" s="149"/>
      <c r="M553" s="149"/>
      <c r="N553" s="149"/>
      <c r="O553" s="149"/>
      <c r="P553" s="149"/>
      <c r="Q553" s="149"/>
      <c r="R553" s="149"/>
      <c r="S553" s="149"/>
      <c r="W553" s="149"/>
      <c r="X553" s="149"/>
      <c r="Y553" s="149"/>
      <c r="Z553" s="149"/>
    </row>
    <row r="554" spans="1:26">
      <c r="A554" s="149"/>
      <c r="B554" s="149"/>
      <c r="C554" s="149"/>
      <c r="D554" s="149"/>
      <c r="E554" s="149"/>
      <c r="F554" s="149"/>
      <c r="G554" s="149"/>
      <c r="H554" s="149"/>
      <c r="I554" s="149"/>
      <c r="J554" s="149"/>
      <c r="K554" s="149"/>
      <c r="L554" s="149"/>
      <c r="M554" s="149"/>
      <c r="N554" s="149"/>
      <c r="O554" s="149"/>
      <c r="P554" s="149"/>
      <c r="Q554" s="149"/>
      <c r="R554" s="149"/>
      <c r="S554" s="149"/>
      <c r="W554" s="149"/>
      <c r="X554" s="149"/>
      <c r="Y554" s="149"/>
      <c r="Z554" s="149"/>
    </row>
    <row r="555" spans="1:26">
      <c r="A555" s="149"/>
      <c r="B555" s="149"/>
      <c r="C555" s="149"/>
      <c r="D555" s="149"/>
      <c r="E555" s="149"/>
      <c r="F555" s="149"/>
      <c r="G555" s="149"/>
      <c r="H555" s="149"/>
      <c r="I555" s="149"/>
      <c r="J555" s="149"/>
      <c r="K555" s="149"/>
      <c r="L555" s="149"/>
      <c r="M555" s="149"/>
      <c r="N555" s="149"/>
      <c r="O555" s="149"/>
      <c r="P555" s="149"/>
      <c r="Q555" s="149"/>
      <c r="R555" s="149"/>
      <c r="S555" s="149"/>
      <c r="W555" s="149"/>
      <c r="X555" s="149"/>
      <c r="Y555" s="149"/>
      <c r="Z555" s="149"/>
    </row>
    <row r="556" spans="1:26">
      <c r="A556" s="149"/>
      <c r="B556" s="149"/>
      <c r="C556" s="149"/>
      <c r="D556" s="149"/>
      <c r="E556" s="149"/>
      <c r="F556" s="149"/>
      <c r="G556" s="149"/>
      <c r="H556" s="149"/>
      <c r="I556" s="149"/>
      <c r="J556" s="149"/>
      <c r="K556" s="149"/>
      <c r="L556" s="149"/>
      <c r="M556" s="149"/>
      <c r="N556" s="149"/>
      <c r="O556" s="149"/>
      <c r="P556" s="149"/>
      <c r="Q556" s="149"/>
      <c r="R556" s="149"/>
      <c r="S556" s="149"/>
      <c r="W556" s="149"/>
      <c r="X556" s="149"/>
      <c r="Y556" s="149"/>
      <c r="Z556" s="149"/>
    </row>
    <row r="557" spans="1:26">
      <c r="A557" s="149"/>
      <c r="B557" s="149"/>
      <c r="C557" s="149"/>
      <c r="D557" s="149"/>
      <c r="E557" s="149"/>
      <c r="F557" s="149"/>
      <c r="G557" s="149"/>
      <c r="H557" s="149"/>
      <c r="I557" s="149"/>
      <c r="J557" s="149"/>
      <c r="K557" s="149"/>
      <c r="L557" s="149"/>
      <c r="M557" s="149"/>
      <c r="N557" s="149"/>
      <c r="O557" s="149"/>
      <c r="P557" s="149"/>
      <c r="Q557" s="149"/>
      <c r="R557" s="149"/>
      <c r="S557" s="149"/>
      <c r="W557" s="149"/>
      <c r="X557" s="149"/>
      <c r="Y557" s="149"/>
      <c r="Z557" s="149"/>
    </row>
    <row r="558" spans="1:26">
      <c r="A558" s="149"/>
      <c r="B558" s="149"/>
      <c r="C558" s="149"/>
      <c r="D558" s="149"/>
      <c r="E558" s="149"/>
      <c r="F558" s="149"/>
      <c r="G558" s="149"/>
      <c r="H558" s="149"/>
      <c r="I558" s="149"/>
      <c r="J558" s="149"/>
      <c r="K558" s="149"/>
      <c r="L558" s="149"/>
      <c r="M558" s="149"/>
      <c r="N558" s="149"/>
      <c r="O558" s="149"/>
      <c r="P558" s="149"/>
      <c r="Q558" s="149"/>
      <c r="R558" s="149"/>
      <c r="S558" s="149"/>
      <c r="W558" s="149"/>
      <c r="X558" s="149"/>
      <c r="Y558" s="149"/>
      <c r="Z558" s="149"/>
    </row>
    <row r="559" spans="1:26">
      <c r="A559" s="149"/>
      <c r="B559" s="149"/>
      <c r="C559" s="149"/>
      <c r="D559" s="149"/>
      <c r="E559" s="149"/>
      <c r="F559" s="149"/>
      <c r="G559" s="149"/>
      <c r="H559" s="149"/>
      <c r="I559" s="149"/>
      <c r="J559" s="149"/>
      <c r="K559" s="149"/>
      <c r="L559" s="149"/>
      <c r="M559" s="149"/>
      <c r="N559" s="149"/>
      <c r="O559" s="149"/>
      <c r="P559" s="149"/>
      <c r="Q559" s="149"/>
      <c r="R559" s="149"/>
      <c r="S559" s="149"/>
      <c r="W559" s="149"/>
      <c r="X559" s="149"/>
      <c r="Y559" s="149"/>
      <c r="Z559" s="149"/>
    </row>
    <row r="560" spans="1:26">
      <c r="A560" s="149"/>
      <c r="B560" s="149"/>
      <c r="C560" s="149"/>
      <c r="D560" s="149"/>
      <c r="E560" s="149"/>
      <c r="F560" s="149"/>
      <c r="G560" s="149"/>
      <c r="H560" s="149"/>
      <c r="I560" s="149"/>
      <c r="J560" s="149"/>
      <c r="K560" s="149"/>
      <c r="L560" s="149"/>
      <c r="M560" s="149"/>
      <c r="N560" s="149"/>
      <c r="O560" s="149"/>
      <c r="P560" s="149"/>
      <c r="Q560" s="149"/>
      <c r="R560" s="149"/>
      <c r="S560" s="149"/>
      <c r="W560" s="149"/>
      <c r="X560" s="149"/>
      <c r="Y560" s="149"/>
      <c r="Z560" s="149"/>
    </row>
    <row r="561" spans="1:26">
      <c r="A561" s="149"/>
      <c r="B561" s="149"/>
      <c r="C561" s="149"/>
      <c r="D561" s="149"/>
      <c r="E561" s="149"/>
      <c r="F561" s="149"/>
      <c r="G561" s="149"/>
      <c r="H561" s="149"/>
      <c r="I561" s="149"/>
      <c r="J561" s="149"/>
      <c r="K561" s="149"/>
      <c r="L561" s="149"/>
      <c r="M561" s="149"/>
      <c r="N561" s="149"/>
      <c r="O561" s="149"/>
      <c r="P561" s="149"/>
      <c r="Q561" s="149"/>
      <c r="R561" s="149"/>
      <c r="S561" s="149"/>
      <c r="W561" s="149"/>
      <c r="X561" s="149"/>
      <c r="Y561" s="149"/>
      <c r="Z561" s="149"/>
    </row>
    <row r="562" spans="1:26">
      <c r="A562" s="149"/>
      <c r="B562" s="149"/>
      <c r="C562" s="149"/>
      <c r="D562" s="149"/>
      <c r="E562" s="149"/>
      <c r="F562" s="149"/>
      <c r="G562" s="149"/>
      <c r="H562" s="149"/>
      <c r="I562" s="149"/>
      <c r="J562" s="149"/>
      <c r="K562" s="149"/>
      <c r="L562" s="149"/>
      <c r="M562" s="149"/>
      <c r="N562" s="149"/>
      <c r="O562" s="149"/>
      <c r="P562" s="149"/>
      <c r="Q562" s="149"/>
      <c r="R562" s="149"/>
      <c r="S562" s="149"/>
      <c r="W562" s="149"/>
      <c r="X562" s="149"/>
      <c r="Y562" s="149"/>
      <c r="Z562" s="149"/>
    </row>
    <row r="563" spans="1:26">
      <c r="A563" s="149"/>
      <c r="B563" s="149"/>
      <c r="C563" s="149"/>
      <c r="D563" s="149"/>
      <c r="E563" s="149"/>
      <c r="F563" s="149"/>
      <c r="G563" s="149"/>
      <c r="H563" s="149"/>
      <c r="I563" s="149"/>
      <c r="J563" s="149"/>
      <c r="K563" s="149"/>
      <c r="L563" s="149"/>
      <c r="M563" s="149"/>
      <c r="N563" s="149"/>
      <c r="O563" s="149"/>
      <c r="P563" s="149"/>
      <c r="Q563" s="149"/>
      <c r="R563" s="149"/>
      <c r="S563" s="149"/>
      <c r="W563" s="149"/>
      <c r="X563" s="149"/>
      <c r="Y563" s="149"/>
      <c r="Z563" s="149"/>
    </row>
    <row r="564" spans="1:26">
      <c r="A564" s="149"/>
      <c r="B564" s="149"/>
      <c r="C564" s="149"/>
      <c r="D564" s="149"/>
      <c r="E564" s="149"/>
      <c r="F564" s="149"/>
      <c r="G564" s="149"/>
      <c r="H564" s="149"/>
      <c r="I564" s="149"/>
      <c r="J564" s="149"/>
      <c r="K564" s="149"/>
      <c r="L564" s="149"/>
      <c r="M564" s="149"/>
      <c r="N564" s="149"/>
      <c r="O564" s="149"/>
      <c r="P564" s="149"/>
      <c r="Q564" s="149"/>
      <c r="R564" s="149"/>
      <c r="S564" s="149"/>
      <c r="W564" s="149"/>
      <c r="X564" s="149"/>
      <c r="Y564" s="149"/>
      <c r="Z564" s="149"/>
    </row>
    <row r="565" spans="1:26">
      <c r="A565" s="149"/>
      <c r="B565" s="149"/>
      <c r="C565" s="149"/>
      <c r="D565" s="149"/>
      <c r="E565" s="149"/>
      <c r="F565" s="149"/>
      <c r="G565" s="149"/>
      <c r="H565" s="149"/>
      <c r="I565" s="149"/>
      <c r="J565" s="149"/>
      <c r="K565" s="149"/>
      <c r="L565" s="149"/>
      <c r="M565" s="149"/>
      <c r="N565" s="149"/>
      <c r="O565" s="149"/>
      <c r="P565" s="149"/>
      <c r="Q565" s="149"/>
      <c r="R565" s="149"/>
      <c r="S565" s="149"/>
      <c r="W565" s="149"/>
      <c r="X565" s="149"/>
      <c r="Y565" s="149"/>
      <c r="Z565" s="149"/>
    </row>
    <row r="566" spans="1:26">
      <c r="A566" s="149"/>
      <c r="B566" s="149"/>
      <c r="C566" s="149"/>
      <c r="D566" s="149"/>
      <c r="E566" s="149"/>
      <c r="F566" s="149"/>
      <c r="G566" s="149"/>
      <c r="H566" s="149"/>
      <c r="I566" s="149"/>
      <c r="J566" s="149"/>
      <c r="K566" s="149"/>
      <c r="L566" s="149"/>
      <c r="M566" s="149"/>
      <c r="N566" s="149"/>
      <c r="O566" s="149"/>
      <c r="P566" s="149"/>
      <c r="Q566" s="149"/>
      <c r="R566" s="149"/>
      <c r="S566" s="149"/>
      <c r="W566" s="149"/>
      <c r="X566" s="149"/>
      <c r="Y566" s="149"/>
      <c r="Z566" s="149"/>
    </row>
    <row r="567" spans="1:26">
      <c r="A567" s="149"/>
      <c r="B567" s="149"/>
      <c r="C567" s="149"/>
      <c r="D567" s="149"/>
      <c r="E567" s="149"/>
      <c r="F567" s="149"/>
      <c r="G567" s="149"/>
      <c r="H567" s="149"/>
      <c r="I567" s="149"/>
      <c r="J567" s="149"/>
      <c r="K567" s="149"/>
      <c r="L567" s="149"/>
      <c r="M567" s="149"/>
      <c r="N567" s="149"/>
      <c r="O567" s="149"/>
      <c r="P567" s="149"/>
      <c r="Q567" s="149"/>
      <c r="R567" s="149"/>
      <c r="S567" s="149"/>
      <c r="W567" s="149"/>
      <c r="X567" s="149"/>
      <c r="Y567" s="149"/>
      <c r="Z567" s="149"/>
    </row>
    <row r="568" spans="1:26">
      <c r="A568" s="149"/>
      <c r="B568" s="149"/>
      <c r="C568" s="149"/>
      <c r="D568" s="149"/>
      <c r="E568" s="149"/>
      <c r="F568" s="149"/>
      <c r="G568" s="149"/>
      <c r="H568" s="149"/>
      <c r="I568" s="149"/>
      <c r="J568" s="149"/>
      <c r="K568" s="149"/>
      <c r="L568" s="149"/>
      <c r="M568" s="149"/>
      <c r="N568" s="149"/>
      <c r="O568" s="149"/>
      <c r="P568" s="149"/>
      <c r="Q568" s="149"/>
      <c r="R568" s="149"/>
      <c r="S568" s="149"/>
      <c r="W568" s="149"/>
      <c r="X568" s="149"/>
      <c r="Y568" s="149"/>
      <c r="Z568" s="149"/>
    </row>
    <row r="569" spans="1:26">
      <c r="A569" s="149"/>
      <c r="B569" s="149"/>
      <c r="C569" s="149"/>
      <c r="D569" s="149"/>
      <c r="E569" s="149"/>
      <c r="F569" s="149"/>
      <c r="G569" s="149"/>
      <c r="H569" s="149"/>
      <c r="I569" s="149"/>
      <c r="J569" s="149"/>
      <c r="K569" s="149"/>
      <c r="L569" s="149"/>
      <c r="M569" s="149"/>
      <c r="N569" s="149"/>
      <c r="O569" s="149"/>
      <c r="P569" s="149"/>
      <c r="Q569" s="149"/>
      <c r="R569" s="149"/>
      <c r="S569" s="149"/>
      <c r="W569" s="149"/>
      <c r="X569" s="149"/>
      <c r="Y569" s="149"/>
      <c r="Z569" s="149"/>
    </row>
    <row r="570" spans="1:26">
      <c r="A570" s="149"/>
      <c r="B570" s="149"/>
      <c r="C570" s="149"/>
      <c r="D570" s="149"/>
      <c r="E570" s="149"/>
      <c r="F570" s="149"/>
      <c r="G570" s="149"/>
      <c r="H570" s="149"/>
      <c r="I570" s="149"/>
      <c r="J570" s="149"/>
      <c r="K570" s="149"/>
      <c r="L570" s="149"/>
      <c r="M570" s="149"/>
      <c r="N570" s="149"/>
      <c r="O570" s="149"/>
      <c r="P570" s="149"/>
      <c r="Q570" s="149"/>
      <c r="R570" s="149"/>
      <c r="S570" s="149"/>
      <c r="W570" s="149"/>
      <c r="X570" s="149"/>
      <c r="Y570" s="149"/>
      <c r="Z570" s="149"/>
    </row>
    <row r="571" spans="1:26">
      <c r="A571" s="149"/>
      <c r="B571" s="149"/>
      <c r="C571" s="149"/>
      <c r="D571" s="149"/>
      <c r="E571" s="149"/>
      <c r="F571" s="149"/>
      <c r="G571" s="149"/>
      <c r="H571" s="149"/>
      <c r="I571" s="149"/>
      <c r="J571" s="149"/>
      <c r="K571" s="149"/>
      <c r="L571" s="149"/>
      <c r="M571" s="149"/>
      <c r="N571" s="149"/>
      <c r="O571" s="149"/>
      <c r="P571" s="149"/>
      <c r="Q571" s="149"/>
      <c r="R571" s="149"/>
      <c r="S571" s="149"/>
      <c r="W571" s="149"/>
      <c r="X571" s="149"/>
      <c r="Y571" s="149"/>
      <c r="Z571" s="149"/>
    </row>
    <row r="572" spans="1:26">
      <c r="A572" s="149"/>
      <c r="B572" s="149"/>
      <c r="C572" s="149"/>
      <c r="D572" s="149"/>
      <c r="E572" s="149"/>
      <c r="F572" s="149"/>
      <c r="G572" s="149"/>
      <c r="H572" s="149"/>
      <c r="I572" s="149"/>
      <c r="J572" s="149"/>
      <c r="K572" s="149"/>
      <c r="L572" s="149"/>
      <c r="M572" s="149"/>
      <c r="N572" s="149"/>
      <c r="O572" s="149"/>
      <c r="P572" s="149"/>
      <c r="Q572" s="149"/>
      <c r="R572" s="149"/>
      <c r="S572" s="149"/>
      <c r="W572" s="149"/>
      <c r="X572" s="149"/>
      <c r="Y572" s="149"/>
      <c r="Z572" s="149"/>
    </row>
    <row r="573" spans="1:26">
      <c r="A573" s="149"/>
      <c r="B573" s="149"/>
      <c r="C573" s="149"/>
      <c r="D573" s="149"/>
      <c r="E573" s="149"/>
      <c r="F573" s="149"/>
      <c r="G573" s="149"/>
      <c r="H573" s="149"/>
      <c r="I573" s="149"/>
      <c r="J573" s="149"/>
      <c r="K573" s="149"/>
      <c r="L573" s="149"/>
      <c r="M573" s="149"/>
      <c r="N573" s="149"/>
      <c r="O573" s="149"/>
      <c r="P573" s="149"/>
      <c r="Q573" s="149"/>
      <c r="R573" s="149"/>
      <c r="S573" s="149"/>
      <c r="W573" s="149"/>
      <c r="X573" s="149"/>
      <c r="Y573" s="149"/>
      <c r="Z573" s="149"/>
    </row>
    <row r="574" spans="1:26">
      <c r="A574" s="149"/>
      <c r="B574" s="149"/>
      <c r="C574" s="149"/>
      <c r="D574" s="149"/>
      <c r="E574" s="149"/>
      <c r="F574" s="149"/>
      <c r="G574" s="149"/>
      <c r="H574" s="149"/>
      <c r="I574" s="149"/>
      <c r="J574" s="149"/>
      <c r="K574" s="149"/>
      <c r="L574" s="149"/>
      <c r="M574" s="149"/>
      <c r="N574" s="149"/>
      <c r="O574" s="149"/>
      <c r="P574" s="149"/>
      <c r="Q574" s="149"/>
      <c r="R574" s="149"/>
      <c r="S574" s="149"/>
      <c r="W574" s="149"/>
      <c r="X574" s="149"/>
      <c r="Y574" s="149"/>
      <c r="Z574" s="149"/>
    </row>
    <row r="575" spans="1:26">
      <c r="A575" s="149"/>
      <c r="B575" s="149"/>
      <c r="C575" s="149"/>
      <c r="D575" s="149"/>
      <c r="E575" s="149"/>
      <c r="F575" s="149"/>
      <c r="G575" s="149"/>
      <c r="H575" s="149"/>
      <c r="I575" s="149"/>
      <c r="J575" s="149"/>
      <c r="K575" s="149"/>
      <c r="L575" s="149"/>
      <c r="M575" s="149"/>
      <c r="N575" s="149"/>
      <c r="O575" s="149"/>
      <c r="P575" s="149"/>
      <c r="Q575" s="149"/>
      <c r="R575" s="149"/>
      <c r="S575" s="149"/>
      <c r="W575" s="149"/>
      <c r="X575" s="149"/>
      <c r="Y575" s="149"/>
      <c r="Z575" s="149"/>
    </row>
    <row r="576" spans="1:26">
      <c r="A576" s="149"/>
      <c r="B576" s="149"/>
      <c r="C576" s="149"/>
      <c r="D576" s="149"/>
      <c r="E576" s="149"/>
      <c r="F576" s="149"/>
      <c r="G576" s="149"/>
      <c r="H576" s="149"/>
      <c r="I576" s="149"/>
      <c r="J576" s="149"/>
      <c r="K576" s="149"/>
      <c r="L576" s="149"/>
      <c r="M576" s="149"/>
      <c r="N576" s="149"/>
      <c r="O576" s="149"/>
      <c r="P576" s="149"/>
      <c r="Q576" s="149"/>
      <c r="R576" s="149"/>
      <c r="S576" s="149"/>
      <c r="W576" s="149"/>
      <c r="X576" s="149"/>
      <c r="Y576" s="149"/>
      <c r="Z576" s="149"/>
    </row>
    <row r="577" spans="1:26">
      <c r="A577" s="149"/>
      <c r="B577" s="149"/>
      <c r="C577" s="149"/>
      <c r="D577" s="149"/>
      <c r="E577" s="149"/>
      <c r="F577" s="149"/>
      <c r="G577" s="149"/>
      <c r="H577" s="149"/>
      <c r="I577" s="149"/>
      <c r="J577" s="149"/>
      <c r="K577" s="149"/>
      <c r="L577" s="149"/>
      <c r="M577" s="149"/>
      <c r="N577" s="149"/>
      <c r="O577" s="149"/>
      <c r="P577" s="149"/>
      <c r="Q577" s="149"/>
      <c r="R577" s="149"/>
      <c r="S577" s="149"/>
      <c r="W577" s="149"/>
      <c r="X577" s="149"/>
      <c r="Y577" s="149"/>
      <c r="Z577" s="149"/>
    </row>
    <row r="578" spans="1:26">
      <c r="A578" s="149"/>
      <c r="B578" s="149"/>
      <c r="C578" s="149"/>
      <c r="D578" s="149"/>
      <c r="E578" s="149"/>
      <c r="F578" s="149"/>
      <c r="G578" s="149"/>
      <c r="H578" s="149"/>
      <c r="I578" s="149"/>
      <c r="J578" s="149"/>
      <c r="K578" s="149"/>
      <c r="L578" s="149"/>
      <c r="M578" s="149"/>
      <c r="N578" s="149"/>
      <c r="O578" s="149"/>
      <c r="P578" s="149"/>
      <c r="Q578" s="149"/>
      <c r="R578" s="149"/>
      <c r="S578" s="149"/>
      <c r="W578" s="149"/>
      <c r="X578" s="149"/>
      <c r="Y578" s="149"/>
      <c r="Z578" s="149"/>
    </row>
    <row r="579" spans="1:26">
      <c r="A579" s="149"/>
      <c r="B579" s="149"/>
      <c r="C579" s="149"/>
      <c r="D579" s="149"/>
      <c r="E579" s="149"/>
      <c r="F579" s="149"/>
      <c r="G579" s="149"/>
      <c r="H579" s="149"/>
      <c r="I579" s="149"/>
      <c r="J579" s="149"/>
      <c r="K579" s="149"/>
      <c r="L579" s="149"/>
      <c r="M579" s="149"/>
      <c r="N579" s="149"/>
      <c r="O579" s="149"/>
      <c r="P579" s="149"/>
      <c r="Q579" s="149"/>
      <c r="R579" s="149"/>
      <c r="S579" s="149"/>
      <c r="W579" s="149"/>
      <c r="X579" s="149"/>
      <c r="Y579" s="149"/>
      <c r="Z579" s="149"/>
    </row>
    <row r="580" spans="1:26">
      <c r="A580" s="149"/>
      <c r="B580" s="149"/>
      <c r="C580" s="149"/>
      <c r="D580" s="149"/>
      <c r="E580" s="149"/>
      <c r="F580" s="149"/>
      <c r="G580" s="149"/>
      <c r="H580" s="149"/>
      <c r="I580" s="149"/>
      <c r="J580" s="149"/>
      <c r="K580" s="149"/>
      <c r="L580" s="149"/>
      <c r="M580" s="149"/>
      <c r="N580" s="149"/>
      <c r="O580" s="149"/>
      <c r="P580" s="149"/>
      <c r="Q580" s="149"/>
      <c r="R580" s="149"/>
      <c r="S580" s="149"/>
      <c r="W580" s="149"/>
      <c r="X580" s="149"/>
      <c r="Y580" s="149"/>
      <c r="Z580" s="149"/>
    </row>
    <row r="581" spans="1:26">
      <c r="A581" s="149"/>
      <c r="B581" s="149"/>
      <c r="C581" s="149"/>
      <c r="D581" s="149"/>
      <c r="E581" s="149"/>
      <c r="F581" s="149"/>
      <c r="G581" s="149"/>
      <c r="H581" s="149"/>
      <c r="I581" s="149"/>
      <c r="J581" s="149"/>
      <c r="K581" s="149"/>
      <c r="L581" s="149"/>
      <c r="M581" s="149"/>
      <c r="N581" s="149"/>
      <c r="O581" s="149"/>
      <c r="P581" s="149"/>
      <c r="Q581" s="149"/>
      <c r="R581" s="149"/>
      <c r="S581" s="149"/>
      <c r="W581" s="149"/>
      <c r="X581" s="149"/>
      <c r="Y581" s="149"/>
      <c r="Z581" s="149"/>
    </row>
    <row r="582" spans="1:26">
      <c r="A582" s="149"/>
      <c r="B582" s="149"/>
      <c r="C582" s="149"/>
      <c r="D582" s="149"/>
      <c r="E582" s="149"/>
      <c r="F582" s="149"/>
      <c r="G582" s="149"/>
      <c r="H582" s="149"/>
      <c r="I582" s="149"/>
      <c r="J582" s="149"/>
      <c r="K582" s="149"/>
      <c r="L582" s="149"/>
      <c r="M582" s="149"/>
      <c r="N582" s="149"/>
      <c r="O582" s="149"/>
      <c r="P582" s="149"/>
      <c r="Q582" s="149"/>
      <c r="R582" s="149"/>
      <c r="S582" s="149"/>
      <c r="W582" s="149"/>
      <c r="X582" s="149"/>
      <c r="Y582" s="149"/>
      <c r="Z582" s="149"/>
    </row>
    <row r="583" spans="1:26">
      <c r="A583" s="149"/>
      <c r="B583" s="149"/>
      <c r="C583" s="149"/>
      <c r="D583" s="149"/>
      <c r="E583" s="149"/>
      <c r="F583" s="149"/>
      <c r="G583" s="149"/>
      <c r="H583" s="149"/>
      <c r="I583" s="149"/>
      <c r="J583" s="149"/>
      <c r="K583" s="149"/>
      <c r="L583" s="149"/>
      <c r="M583" s="149"/>
      <c r="N583" s="149"/>
      <c r="O583" s="149"/>
      <c r="P583" s="149"/>
      <c r="Q583" s="149"/>
      <c r="R583" s="149"/>
      <c r="S583" s="149"/>
      <c r="W583" s="149"/>
      <c r="X583" s="149"/>
      <c r="Y583" s="149"/>
      <c r="Z583" s="149"/>
    </row>
    <row r="584" spans="1:26">
      <c r="A584" s="149"/>
      <c r="B584" s="149"/>
      <c r="C584" s="149"/>
      <c r="D584" s="149"/>
      <c r="E584" s="149"/>
      <c r="F584" s="149"/>
      <c r="G584" s="149"/>
      <c r="H584" s="149"/>
      <c r="I584" s="149"/>
      <c r="J584" s="149"/>
      <c r="K584" s="149"/>
      <c r="L584" s="149"/>
      <c r="M584" s="149"/>
      <c r="N584" s="149"/>
      <c r="O584" s="149"/>
      <c r="P584" s="149"/>
      <c r="Q584" s="149"/>
      <c r="R584" s="149"/>
      <c r="S584" s="149"/>
      <c r="W584" s="149"/>
      <c r="X584" s="149"/>
      <c r="Y584" s="149"/>
      <c r="Z584" s="149"/>
    </row>
    <row r="585" spans="1:26">
      <c r="A585" s="149"/>
      <c r="B585" s="149"/>
      <c r="C585" s="149"/>
      <c r="D585" s="149"/>
      <c r="E585" s="149"/>
      <c r="F585" s="149"/>
      <c r="G585" s="149"/>
      <c r="H585" s="149"/>
      <c r="I585" s="149"/>
      <c r="J585" s="149"/>
      <c r="K585" s="149"/>
      <c r="L585" s="149"/>
      <c r="M585" s="149"/>
      <c r="N585" s="149"/>
      <c r="O585" s="149"/>
      <c r="P585" s="149"/>
      <c r="Q585" s="149"/>
      <c r="R585" s="149"/>
      <c r="S585" s="149"/>
      <c r="W585" s="149"/>
      <c r="X585" s="149"/>
      <c r="Y585" s="149"/>
      <c r="Z585" s="149"/>
    </row>
    <row r="586" spans="1:26">
      <c r="A586" s="149"/>
      <c r="B586" s="149"/>
      <c r="C586" s="149"/>
      <c r="D586" s="149"/>
      <c r="E586" s="149"/>
      <c r="F586" s="149"/>
      <c r="G586" s="149"/>
      <c r="H586" s="149"/>
      <c r="I586" s="149"/>
      <c r="J586" s="149"/>
      <c r="K586" s="149"/>
      <c r="L586" s="149"/>
      <c r="M586" s="149"/>
      <c r="N586" s="149"/>
      <c r="O586" s="149"/>
      <c r="P586" s="149"/>
      <c r="Q586" s="149"/>
      <c r="R586" s="149"/>
      <c r="S586" s="149"/>
      <c r="W586" s="149"/>
      <c r="X586" s="149"/>
      <c r="Y586" s="149"/>
      <c r="Z586" s="149"/>
    </row>
    <row r="587" spans="1:26">
      <c r="A587" s="149"/>
      <c r="B587" s="149"/>
      <c r="C587" s="149"/>
      <c r="D587" s="149"/>
      <c r="E587" s="149"/>
      <c r="F587" s="149"/>
      <c r="G587" s="149"/>
      <c r="H587" s="149"/>
      <c r="I587" s="149"/>
      <c r="J587" s="149"/>
      <c r="K587" s="149"/>
      <c r="L587" s="149"/>
      <c r="M587" s="149"/>
      <c r="N587" s="149"/>
      <c r="O587" s="149"/>
      <c r="P587" s="149"/>
      <c r="Q587" s="149"/>
      <c r="R587" s="149"/>
      <c r="S587" s="149"/>
      <c r="W587" s="149"/>
      <c r="X587" s="149"/>
      <c r="Y587" s="149"/>
      <c r="Z587" s="149"/>
    </row>
    <row r="588" spans="1:26">
      <c r="A588" s="149"/>
      <c r="B588" s="149"/>
      <c r="C588" s="149"/>
      <c r="D588" s="149"/>
      <c r="E588" s="149"/>
      <c r="F588" s="149"/>
      <c r="G588" s="149"/>
      <c r="H588" s="149"/>
      <c r="I588" s="149"/>
      <c r="J588" s="149"/>
      <c r="K588" s="149"/>
      <c r="L588" s="149"/>
      <c r="M588" s="149"/>
      <c r="N588" s="149"/>
      <c r="O588" s="149"/>
      <c r="P588" s="149"/>
      <c r="Q588" s="149"/>
      <c r="R588" s="149"/>
      <c r="S588" s="149"/>
      <c r="W588" s="149"/>
      <c r="X588" s="149"/>
      <c r="Y588" s="149"/>
      <c r="Z588" s="149"/>
    </row>
    <row r="589" spans="1:26">
      <c r="A589" s="149"/>
      <c r="B589" s="149"/>
      <c r="C589" s="149"/>
      <c r="D589" s="149"/>
      <c r="E589" s="149"/>
      <c r="F589" s="149"/>
      <c r="G589" s="149"/>
      <c r="H589" s="149"/>
      <c r="I589" s="149"/>
      <c r="J589" s="149"/>
      <c r="K589" s="149"/>
      <c r="L589" s="149"/>
      <c r="M589" s="149"/>
      <c r="N589" s="149"/>
      <c r="O589" s="149"/>
      <c r="P589" s="149"/>
      <c r="Q589" s="149"/>
      <c r="R589" s="149"/>
      <c r="S589" s="149"/>
      <c r="W589" s="149"/>
      <c r="X589" s="149"/>
      <c r="Y589" s="149"/>
      <c r="Z589" s="149"/>
    </row>
    <row r="590" spans="1:26">
      <c r="A590" s="149"/>
      <c r="B590" s="149"/>
      <c r="C590" s="149"/>
      <c r="D590" s="149"/>
      <c r="E590" s="149"/>
      <c r="F590" s="149"/>
      <c r="G590" s="149"/>
      <c r="H590" s="149"/>
      <c r="I590" s="149"/>
      <c r="J590" s="149"/>
      <c r="K590" s="149"/>
      <c r="L590" s="149"/>
      <c r="M590" s="149"/>
      <c r="N590" s="149"/>
      <c r="O590" s="149"/>
      <c r="P590" s="149"/>
      <c r="Q590" s="149"/>
      <c r="R590" s="149"/>
      <c r="S590" s="149"/>
      <c r="W590" s="149"/>
      <c r="X590" s="149"/>
      <c r="Y590" s="149"/>
      <c r="Z590" s="149"/>
    </row>
    <row r="591" spans="1:26">
      <c r="A591" s="149"/>
      <c r="B591" s="149"/>
      <c r="C591" s="149"/>
      <c r="D591" s="149"/>
      <c r="E591" s="149"/>
      <c r="F591" s="149"/>
      <c r="G591" s="149"/>
      <c r="H591" s="149"/>
      <c r="I591" s="149"/>
      <c r="J591" s="149"/>
      <c r="K591" s="149"/>
      <c r="L591" s="149"/>
      <c r="M591" s="149"/>
      <c r="N591" s="149"/>
      <c r="O591" s="149"/>
      <c r="P591" s="149"/>
      <c r="Q591" s="149"/>
      <c r="R591" s="149"/>
      <c r="S591" s="149"/>
      <c r="W591" s="149"/>
      <c r="X591" s="149"/>
      <c r="Y591" s="149"/>
      <c r="Z591" s="149"/>
    </row>
    <row r="592" spans="1:26">
      <c r="A592" s="149"/>
      <c r="B592" s="149"/>
      <c r="C592" s="149"/>
      <c r="D592" s="149"/>
      <c r="E592" s="149"/>
      <c r="F592" s="149"/>
      <c r="G592" s="149"/>
      <c r="H592" s="149"/>
      <c r="I592" s="149"/>
      <c r="J592" s="149"/>
      <c r="K592" s="149"/>
      <c r="L592" s="149"/>
      <c r="M592" s="149"/>
      <c r="N592" s="149"/>
      <c r="O592" s="149"/>
      <c r="P592" s="149"/>
      <c r="Q592" s="149"/>
      <c r="R592" s="149"/>
      <c r="S592" s="149"/>
      <c r="W592" s="149"/>
      <c r="X592" s="149"/>
      <c r="Y592" s="149"/>
      <c r="Z592" s="149"/>
    </row>
    <row r="593" spans="1:26">
      <c r="A593" s="149"/>
      <c r="B593" s="149"/>
      <c r="C593" s="149"/>
      <c r="D593" s="149"/>
      <c r="E593" s="149"/>
      <c r="F593" s="149"/>
      <c r="G593" s="149"/>
      <c r="H593" s="149"/>
      <c r="I593" s="149"/>
      <c r="J593" s="149"/>
      <c r="K593" s="149"/>
      <c r="L593" s="149"/>
      <c r="M593" s="149"/>
      <c r="N593" s="149"/>
      <c r="O593" s="149"/>
      <c r="P593" s="149"/>
      <c r="Q593" s="149"/>
      <c r="R593" s="149"/>
      <c r="S593" s="149"/>
      <c r="W593" s="149"/>
      <c r="X593" s="149"/>
      <c r="Y593" s="149"/>
      <c r="Z593" s="149"/>
    </row>
    <row r="594" spans="1:26">
      <c r="A594" s="149"/>
      <c r="B594" s="149"/>
      <c r="C594" s="149"/>
      <c r="D594" s="149"/>
      <c r="E594" s="149"/>
      <c r="F594" s="149"/>
      <c r="G594" s="149"/>
      <c r="H594" s="149"/>
      <c r="I594" s="149"/>
      <c r="J594" s="149"/>
      <c r="K594" s="149"/>
      <c r="L594" s="149"/>
      <c r="M594" s="149"/>
      <c r="N594" s="149"/>
      <c r="O594" s="149"/>
      <c r="P594" s="149"/>
      <c r="Q594" s="149"/>
      <c r="R594" s="149"/>
      <c r="S594" s="149"/>
      <c r="W594" s="149"/>
      <c r="X594" s="149"/>
      <c r="Y594" s="149"/>
      <c r="Z594" s="149"/>
    </row>
    <row r="595" spans="1:26">
      <c r="A595" s="149"/>
      <c r="B595" s="149"/>
      <c r="C595" s="149"/>
      <c r="D595" s="149"/>
      <c r="E595" s="149"/>
      <c r="F595" s="149"/>
      <c r="G595" s="149"/>
      <c r="H595" s="149"/>
      <c r="I595" s="149"/>
      <c r="J595" s="149"/>
      <c r="K595" s="149"/>
      <c r="L595" s="149"/>
      <c r="M595" s="149"/>
      <c r="N595" s="149"/>
      <c r="O595" s="149"/>
      <c r="P595" s="149"/>
      <c r="Q595" s="149"/>
      <c r="R595" s="149"/>
      <c r="S595" s="149"/>
      <c r="W595" s="149"/>
      <c r="X595" s="149"/>
      <c r="Y595" s="149"/>
      <c r="Z595" s="149"/>
    </row>
    <row r="596" spans="1:26">
      <c r="A596" s="149"/>
      <c r="B596" s="149"/>
      <c r="C596" s="149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W596" s="149"/>
      <c r="X596" s="149"/>
      <c r="Y596" s="149"/>
      <c r="Z596" s="149"/>
    </row>
    <row r="597" spans="1:26">
      <c r="A597" s="149"/>
      <c r="B597" s="149"/>
      <c r="C597" s="149"/>
      <c r="D597" s="149"/>
      <c r="E597" s="149"/>
      <c r="F597" s="149"/>
      <c r="G597" s="149"/>
      <c r="H597" s="149"/>
      <c r="I597" s="149"/>
      <c r="J597" s="149"/>
      <c r="K597" s="149"/>
      <c r="L597" s="149"/>
      <c r="M597" s="149"/>
      <c r="N597" s="149"/>
      <c r="O597" s="149"/>
      <c r="P597" s="149"/>
      <c r="Q597" s="149"/>
      <c r="R597" s="149"/>
      <c r="S597" s="149"/>
      <c r="W597" s="149"/>
      <c r="X597" s="149"/>
      <c r="Y597" s="149"/>
      <c r="Z597" s="149"/>
    </row>
    <row r="598" spans="1:26">
      <c r="A598" s="149"/>
      <c r="B598" s="149"/>
      <c r="C598" s="149"/>
      <c r="D598" s="149"/>
      <c r="E598" s="149"/>
      <c r="F598" s="149"/>
      <c r="G598" s="149"/>
      <c r="H598" s="149"/>
      <c r="I598" s="149"/>
      <c r="J598" s="149"/>
      <c r="K598" s="149"/>
      <c r="L598" s="149"/>
      <c r="M598" s="149"/>
      <c r="N598" s="149"/>
      <c r="O598" s="149"/>
      <c r="P598" s="149"/>
      <c r="Q598" s="149"/>
      <c r="R598" s="149"/>
      <c r="S598" s="149"/>
      <c r="W598" s="149"/>
      <c r="X598" s="149"/>
      <c r="Y598" s="149"/>
      <c r="Z598" s="149"/>
    </row>
    <row r="599" spans="1:26">
      <c r="A599" s="149"/>
      <c r="B599" s="149"/>
      <c r="C599" s="149"/>
      <c r="D599" s="149"/>
      <c r="E599" s="149"/>
      <c r="F599" s="149"/>
      <c r="G599" s="149"/>
      <c r="H599" s="149"/>
      <c r="I599" s="149"/>
      <c r="J599" s="149"/>
      <c r="K599" s="149"/>
      <c r="L599" s="149"/>
      <c r="M599" s="149"/>
      <c r="N599" s="149"/>
      <c r="O599" s="149"/>
      <c r="P599" s="149"/>
      <c r="Q599" s="149"/>
      <c r="R599" s="149"/>
      <c r="S599" s="149"/>
      <c r="W599" s="149"/>
      <c r="X599" s="149"/>
      <c r="Y599" s="149"/>
      <c r="Z599" s="149"/>
    </row>
    <row r="600" spans="1:26">
      <c r="A600" s="149"/>
      <c r="B600" s="149"/>
      <c r="C600" s="149"/>
      <c r="D600" s="149"/>
      <c r="E600" s="149"/>
      <c r="F600" s="149"/>
      <c r="G600" s="149"/>
      <c r="H600" s="149"/>
      <c r="I600" s="149"/>
      <c r="J600" s="149"/>
      <c r="K600" s="149"/>
      <c r="L600" s="149"/>
      <c r="M600" s="149"/>
      <c r="N600" s="149"/>
      <c r="O600" s="149"/>
      <c r="P600" s="149"/>
      <c r="Q600" s="149"/>
      <c r="R600" s="149"/>
      <c r="S600" s="149"/>
      <c r="W600" s="149"/>
      <c r="X600" s="149"/>
      <c r="Y600" s="149"/>
      <c r="Z600" s="149"/>
    </row>
    <row r="601" spans="1:26">
      <c r="A601" s="149"/>
      <c r="B601" s="149"/>
      <c r="C601" s="149"/>
      <c r="D601" s="149"/>
      <c r="E601" s="149"/>
      <c r="F601" s="149"/>
      <c r="G601" s="149"/>
      <c r="H601" s="149"/>
      <c r="I601" s="149"/>
      <c r="J601" s="149"/>
      <c r="K601" s="149"/>
      <c r="L601" s="149"/>
      <c r="M601" s="149"/>
      <c r="N601" s="149"/>
      <c r="O601" s="149"/>
      <c r="P601" s="149"/>
      <c r="Q601" s="149"/>
      <c r="R601" s="149"/>
      <c r="S601" s="149"/>
      <c r="W601" s="149"/>
      <c r="X601" s="149"/>
      <c r="Y601" s="149"/>
      <c r="Z601" s="149"/>
    </row>
    <row r="602" spans="1:26">
      <c r="A602" s="149"/>
      <c r="B602" s="149"/>
      <c r="C602" s="149"/>
      <c r="D602" s="149"/>
      <c r="E602" s="149"/>
      <c r="F602" s="149"/>
      <c r="G602" s="149"/>
      <c r="H602" s="149"/>
      <c r="I602" s="149"/>
      <c r="J602" s="149"/>
      <c r="K602" s="149"/>
      <c r="L602" s="149"/>
      <c r="M602" s="149"/>
      <c r="N602" s="149"/>
      <c r="O602" s="149"/>
      <c r="P602" s="149"/>
      <c r="Q602" s="149"/>
      <c r="R602" s="149"/>
      <c r="S602" s="149"/>
      <c r="W602" s="149"/>
      <c r="X602" s="149"/>
      <c r="Y602" s="149"/>
      <c r="Z602" s="149"/>
    </row>
    <row r="603" spans="1:26">
      <c r="A603" s="149"/>
      <c r="B603" s="149"/>
      <c r="C603" s="149"/>
      <c r="D603" s="149"/>
      <c r="E603" s="149"/>
      <c r="F603" s="149"/>
      <c r="G603" s="149"/>
      <c r="H603" s="149"/>
      <c r="I603" s="149"/>
      <c r="J603" s="149"/>
      <c r="K603" s="149"/>
      <c r="L603" s="149"/>
      <c r="M603" s="149"/>
      <c r="N603" s="149"/>
      <c r="O603" s="149"/>
      <c r="P603" s="149"/>
      <c r="Q603" s="149"/>
      <c r="R603" s="149"/>
      <c r="S603" s="149"/>
      <c r="W603" s="149"/>
      <c r="X603" s="149"/>
      <c r="Y603" s="149"/>
      <c r="Z603" s="149"/>
    </row>
    <row r="604" spans="1:26">
      <c r="A604" s="149"/>
      <c r="B604" s="149"/>
      <c r="C604" s="149"/>
      <c r="D604" s="149"/>
      <c r="E604" s="149"/>
      <c r="F604" s="149"/>
      <c r="G604" s="149"/>
      <c r="H604" s="149"/>
      <c r="I604" s="149"/>
      <c r="J604" s="149"/>
      <c r="K604" s="149"/>
      <c r="L604" s="149"/>
      <c r="M604" s="149"/>
      <c r="N604" s="149"/>
      <c r="O604" s="149"/>
      <c r="P604" s="149"/>
      <c r="Q604" s="149"/>
      <c r="R604" s="149"/>
      <c r="S604" s="149"/>
      <c r="W604" s="149"/>
      <c r="X604" s="149"/>
      <c r="Y604" s="149"/>
      <c r="Z604" s="149"/>
    </row>
    <row r="605" spans="1:26">
      <c r="A605" s="149"/>
      <c r="B605" s="149"/>
      <c r="C605" s="149"/>
      <c r="D605" s="149"/>
      <c r="E605" s="149"/>
      <c r="F605" s="149"/>
      <c r="G605" s="149"/>
      <c r="H605" s="149"/>
      <c r="I605" s="149"/>
      <c r="J605" s="149"/>
      <c r="K605" s="149"/>
      <c r="L605" s="149"/>
      <c r="M605" s="149"/>
      <c r="N605" s="149"/>
      <c r="O605" s="149"/>
      <c r="P605" s="149"/>
      <c r="Q605" s="149"/>
      <c r="R605" s="149"/>
      <c r="S605" s="149"/>
      <c r="W605" s="149"/>
      <c r="X605" s="149"/>
      <c r="Y605" s="149"/>
      <c r="Z605" s="149"/>
    </row>
    <row r="606" spans="1:26">
      <c r="A606" s="149"/>
      <c r="B606" s="149"/>
      <c r="C606" s="149"/>
      <c r="D606" s="149"/>
      <c r="E606" s="149"/>
      <c r="F606" s="149"/>
      <c r="G606" s="149"/>
      <c r="H606" s="149"/>
      <c r="I606" s="149"/>
      <c r="J606" s="149"/>
      <c r="K606" s="149"/>
      <c r="L606" s="149"/>
      <c r="M606" s="149"/>
      <c r="N606" s="149"/>
      <c r="O606" s="149"/>
      <c r="P606" s="149"/>
      <c r="Q606" s="149"/>
      <c r="R606" s="149"/>
      <c r="S606" s="149"/>
      <c r="W606" s="149"/>
      <c r="X606" s="149"/>
      <c r="Y606" s="149"/>
      <c r="Z606" s="149"/>
    </row>
    <row r="607" spans="1:26">
      <c r="A607" s="149"/>
      <c r="B607" s="149"/>
      <c r="C607" s="149"/>
      <c r="D607" s="149"/>
      <c r="E607" s="149"/>
      <c r="F607" s="149"/>
      <c r="G607" s="149"/>
      <c r="H607" s="149"/>
      <c r="I607" s="149"/>
      <c r="J607" s="149"/>
      <c r="K607" s="149"/>
      <c r="L607" s="149"/>
      <c r="M607" s="149"/>
      <c r="N607" s="149"/>
      <c r="O607" s="149"/>
      <c r="P607" s="149"/>
      <c r="Q607" s="149"/>
      <c r="R607" s="149"/>
      <c r="S607" s="149"/>
      <c r="W607" s="149"/>
      <c r="X607" s="149"/>
      <c r="Y607" s="149"/>
      <c r="Z607" s="149"/>
    </row>
    <row r="608" spans="1:26">
      <c r="A608" s="149"/>
      <c r="B608" s="149"/>
      <c r="C608" s="149"/>
      <c r="D608" s="149"/>
      <c r="E608" s="149"/>
      <c r="F608" s="149"/>
      <c r="G608" s="149"/>
      <c r="H608" s="149"/>
      <c r="I608" s="149"/>
      <c r="J608" s="149"/>
      <c r="K608" s="149"/>
      <c r="L608" s="149"/>
      <c r="M608" s="149"/>
      <c r="N608" s="149"/>
      <c r="O608" s="149"/>
      <c r="P608" s="149"/>
      <c r="Q608" s="149"/>
      <c r="R608" s="149"/>
      <c r="S608" s="149"/>
      <c r="W608" s="149"/>
      <c r="X608" s="149"/>
      <c r="Y608" s="149"/>
      <c r="Z608" s="149"/>
    </row>
    <row r="609" spans="1:26">
      <c r="A609" s="149"/>
      <c r="B609" s="149"/>
      <c r="C609" s="149"/>
      <c r="D609" s="149"/>
      <c r="E609" s="149"/>
      <c r="F609" s="149"/>
      <c r="G609" s="149"/>
      <c r="H609" s="149"/>
      <c r="I609" s="149"/>
      <c r="J609" s="149"/>
      <c r="K609" s="149"/>
      <c r="L609" s="149"/>
      <c r="M609" s="149"/>
      <c r="N609" s="149"/>
      <c r="O609" s="149"/>
      <c r="P609" s="149"/>
      <c r="Q609" s="149"/>
      <c r="R609" s="149"/>
      <c r="S609" s="149"/>
      <c r="W609" s="149"/>
      <c r="X609" s="149"/>
      <c r="Y609" s="149"/>
      <c r="Z609" s="149"/>
    </row>
    <row r="610" spans="1:26">
      <c r="A610" s="149"/>
      <c r="B610" s="149"/>
      <c r="C610" s="149"/>
      <c r="D610" s="149"/>
      <c r="E610" s="149"/>
      <c r="F610" s="149"/>
      <c r="G610" s="149"/>
      <c r="H610" s="149"/>
      <c r="I610" s="149"/>
      <c r="J610" s="149"/>
      <c r="K610" s="149"/>
      <c r="L610" s="149"/>
      <c r="M610" s="149"/>
      <c r="N610" s="149"/>
      <c r="O610" s="149"/>
      <c r="P610" s="149"/>
      <c r="Q610" s="149"/>
      <c r="R610" s="149"/>
      <c r="S610" s="149"/>
      <c r="W610" s="149"/>
      <c r="X610" s="149"/>
      <c r="Y610" s="149"/>
      <c r="Z610" s="149"/>
    </row>
    <row r="611" spans="1:26">
      <c r="A611" s="149"/>
      <c r="B611" s="149"/>
      <c r="C611" s="149"/>
      <c r="D611" s="149"/>
      <c r="E611" s="149"/>
      <c r="F611" s="149"/>
      <c r="G611" s="149"/>
      <c r="H611" s="149"/>
      <c r="I611" s="149"/>
      <c r="J611" s="149"/>
      <c r="K611" s="149"/>
      <c r="L611" s="149"/>
      <c r="M611" s="149"/>
      <c r="N611" s="149"/>
      <c r="O611" s="149"/>
      <c r="P611" s="149"/>
      <c r="Q611" s="149"/>
      <c r="R611" s="149"/>
      <c r="S611" s="149"/>
      <c r="W611" s="149"/>
      <c r="X611" s="149"/>
      <c r="Y611" s="149"/>
      <c r="Z611" s="149"/>
    </row>
    <row r="612" spans="1:26">
      <c r="A612" s="149"/>
      <c r="B612" s="149"/>
      <c r="C612" s="149"/>
      <c r="D612" s="149"/>
      <c r="E612" s="149"/>
      <c r="F612" s="149"/>
      <c r="G612" s="149"/>
      <c r="H612" s="149"/>
      <c r="I612" s="149"/>
      <c r="J612" s="149"/>
      <c r="K612" s="149"/>
      <c r="L612" s="149"/>
      <c r="M612" s="149"/>
      <c r="N612" s="149"/>
      <c r="O612" s="149"/>
      <c r="P612" s="149"/>
      <c r="Q612" s="149"/>
      <c r="R612" s="149"/>
      <c r="S612" s="149"/>
      <c r="W612" s="149"/>
      <c r="X612" s="149"/>
      <c r="Y612" s="149"/>
      <c r="Z612" s="149"/>
    </row>
    <row r="613" spans="1:26">
      <c r="A613" s="149"/>
      <c r="B613" s="149"/>
      <c r="C613" s="149"/>
      <c r="D613" s="149"/>
      <c r="E613" s="149"/>
      <c r="F613" s="149"/>
      <c r="G613" s="149"/>
      <c r="H613" s="149"/>
      <c r="I613" s="149"/>
      <c r="J613" s="149"/>
      <c r="K613" s="149"/>
      <c r="L613" s="149"/>
      <c r="M613" s="149"/>
      <c r="N613" s="149"/>
      <c r="O613" s="149"/>
      <c r="P613" s="149"/>
      <c r="Q613" s="149"/>
      <c r="R613" s="149"/>
      <c r="S613" s="149"/>
      <c r="W613" s="149"/>
      <c r="X613" s="149"/>
      <c r="Y613" s="149"/>
      <c r="Z613" s="149"/>
    </row>
    <row r="614" spans="1:26">
      <c r="A614" s="149"/>
      <c r="B614" s="149"/>
      <c r="C614" s="149"/>
      <c r="D614" s="149"/>
      <c r="E614" s="149"/>
      <c r="F614" s="149"/>
      <c r="G614" s="149"/>
      <c r="H614" s="149"/>
      <c r="I614" s="149"/>
      <c r="J614" s="149"/>
      <c r="K614" s="149"/>
      <c r="L614" s="149"/>
      <c r="M614" s="149"/>
      <c r="N614" s="149"/>
      <c r="O614" s="149"/>
      <c r="P614" s="149"/>
      <c r="Q614" s="149"/>
      <c r="R614" s="149"/>
      <c r="S614" s="149"/>
      <c r="W614" s="149"/>
      <c r="X614" s="149"/>
      <c r="Y614" s="149"/>
      <c r="Z614" s="149"/>
    </row>
    <row r="615" spans="1:26">
      <c r="A615" s="149"/>
      <c r="B615" s="149"/>
      <c r="C615" s="149"/>
      <c r="D615" s="149"/>
      <c r="E615" s="149"/>
      <c r="F615" s="149"/>
      <c r="G615" s="149"/>
      <c r="H615" s="149"/>
      <c r="I615" s="149"/>
      <c r="J615" s="149"/>
      <c r="K615" s="149"/>
      <c r="L615" s="149"/>
      <c r="M615" s="149"/>
      <c r="N615" s="149"/>
      <c r="O615" s="149"/>
      <c r="P615" s="149"/>
      <c r="Q615" s="149"/>
      <c r="R615" s="149"/>
      <c r="S615" s="149"/>
      <c r="W615" s="149"/>
      <c r="X615" s="149"/>
      <c r="Y615" s="149"/>
      <c r="Z615" s="149"/>
    </row>
    <row r="616" spans="1:26">
      <c r="A616" s="149"/>
      <c r="B616" s="149"/>
      <c r="C616" s="149"/>
      <c r="D616" s="149"/>
      <c r="E616" s="149"/>
      <c r="F616" s="149"/>
      <c r="G616" s="149"/>
      <c r="H616" s="149"/>
      <c r="I616" s="149"/>
      <c r="J616" s="149"/>
      <c r="K616" s="149"/>
      <c r="L616" s="149"/>
      <c r="M616" s="149"/>
      <c r="N616" s="149"/>
      <c r="O616" s="149"/>
      <c r="P616" s="149"/>
      <c r="Q616" s="149"/>
      <c r="R616" s="149"/>
      <c r="S616" s="149"/>
      <c r="W616" s="149"/>
      <c r="X616" s="149"/>
      <c r="Y616" s="149"/>
      <c r="Z616" s="149"/>
    </row>
    <row r="617" spans="1:26">
      <c r="A617" s="149"/>
      <c r="B617" s="149"/>
      <c r="C617" s="149"/>
      <c r="D617" s="149"/>
      <c r="E617" s="149"/>
      <c r="F617" s="149"/>
      <c r="G617" s="149"/>
      <c r="H617" s="149"/>
      <c r="I617" s="149"/>
      <c r="J617" s="149"/>
      <c r="K617" s="149"/>
      <c r="L617" s="149"/>
      <c r="M617" s="149"/>
      <c r="N617" s="149"/>
      <c r="O617" s="149"/>
      <c r="P617" s="149"/>
      <c r="Q617" s="149"/>
      <c r="R617" s="149"/>
      <c r="S617" s="149"/>
      <c r="W617" s="149"/>
      <c r="X617" s="149"/>
      <c r="Y617" s="149"/>
      <c r="Z617" s="149"/>
    </row>
    <row r="618" spans="1:26">
      <c r="A618" s="149"/>
      <c r="B618" s="149"/>
      <c r="C618" s="149"/>
      <c r="D618" s="149"/>
      <c r="E618" s="149"/>
      <c r="F618" s="149"/>
      <c r="G618" s="149"/>
      <c r="H618" s="149"/>
      <c r="I618" s="149"/>
      <c r="J618" s="149"/>
      <c r="K618" s="149"/>
      <c r="L618" s="149"/>
      <c r="M618" s="149"/>
      <c r="N618" s="149"/>
      <c r="O618" s="149"/>
      <c r="P618" s="149"/>
      <c r="Q618" s="149"/>
      <c r="R618" s="149"/>
      <c r="S618" s="149"/>
      <c r="W618" s="149"/>
      <c r="X618" s="149"/>
      <c r="Y618" s="149"/>
      <c r="Z618" s="149"/>
    </row>
    <row r="619" spans="1:26">
      <c r="A619" s="149"/>
      <c r="B619" s="149"/>
      <c r="C619" s="149"/>
      <c r="D619" s="149"/>
      <c r="E619" s="149"/>
      <c r="F619" s="149"/>
      <c r="G619" s="149"/>
      <c r="H619" s="149"/>
      <c r="I619" s="149"/>
      <c r="J619" s="149"/>
      <c r="K619" s="149"/>
      <c r="L619" s="149"/>
      <c r="M619" s="149"/>
      <c r="N619" s="149"/>
      <c r="O619" s="149"/>
      <c r="P619" s="149"/>
      <c r="Q619" s="149"/>
      <c r="R619" s="149"/>
      <c r="S619" s="149"/>
      <c r="W619" s="149"/>
      <c r="X619" s="149"/>
      <c r="Y619" s="149"/>
      <c r="Z619" s="149"/>
    </row>
    <row r="620" spans="1:26">
      <c r="A620" s="149"/>
      <c r="B620" s="149"/>
      <c r="C620" s="149"/>
      <c r="D620" s="149"/>
      <c r="E620" s="149"/>
      <c r="F620" s="149"/>
      <c r="G620" s="149"/>
      <c r="H620" s="149"/>
      <c r="I620" s="149"/>
      <c r="J620" s="149"/>
      <c r="K620" s="149"/>
      <c r="L620" s="149"/>
      <c r="M620" s="149"/>
      <c r="N620" s="149"/>
      <c r="O620" s="149"/>
      <c r="P620" s="149"/>
      <c r="Q620" s="149"/>
      <c r="R620" s="149"/>
      <c r="S620" s="149"/>
      <c r="W620" s="149"/>
      <c r="X620" s="149"/>
      <c r="Y620" s="149"/>
      <c r="Z620" s="149"/>
    </row>
    <row r="621" spans="1:26">
      <c r="A621" s="149"/>
      <c r="B621" s="149"/>
      <c r="C621" s="149"/>
      <c r="D621" s="149"/>
      <c r="E621" s="149"/>
      <c r="F621" s="149"/>
      <c r="G621" s="149"/>
      <c r="H621" s="149"/>
      <c r="I621" s="149"/>
      <c r="J621" s="149"/>
      <c r="K621" s="149"/>
      <c r="L621" s="149"/>
      <c r="M621" s="149"/>
      <c r="N621" s="149"/>
      <c r="O621" s="149"/>
      <c r="P621" s="149"/>
      <c r="Q621" s="149"/>
      <c r="R621" s="149"/>
      <c r="S621" s="149"/>
      <c r="W621" s="149"/>
      <c r="X621" s="149"/>
      <c r="Y621" s="149"/>
      <c r="Z621" s="149"/>
    </row>
    <row r="622" spans="1:26">
      <c r="A622" s="149"/>
      <c r="B622" s="149"/>
      <c r="C622" s="149"/>
      <c r="D622" s="149"/>
      <c r="E622" s="149"/>
      <c r="F622" s="149"/>
      <c r="G622" s="149"/>
      <c r="H622" s="149"/>
      <c r="I622" s="149"/>
      <c r="J622" s="149"/>
      <c r="K622" s="149"/>
      <c r="L622" s="149"/>
      <c r="M622" s="149"/>
      <c r="N622" s="149"/>
      <c r="O622" s="149"/>
      <c r="P622" s="149"/>
      <c r="Q622" s="149"/>
      <c r="R622" s="149"/>
      <c r="S622" s="149"/>
      <c r="W622" s="149"/>
      <c r="X622" s="149"/>
      <c r="Y622" s="149"/>
      <c r="Z622" s="149"/>
    </row>
    <row r="623" spans="1:26">
      <c r="A623" s="149"/>
      <c r="B623" s="149"/>
      <c r="C623" s="149"/>
      <c r="D623" s="149"/>
      <c r="E623" s="149"/>
      <c r="F623" s="149"/>
      <c r="G623" s="149"/>
      <c r="H623" s="149"/>
      <c r="I623" s="149"/>
      <c r="J623" s="149"/>
      <c r="K623" s="149"/>
      <c r="L623" s="149"/>
      <c r="M623" s="149"/>
      <c r="N623" s="149"/>
      <c r="O623" s="149"/>
      <c r="P623" s="149"/>
      <c r="Q623" s="149"/>
      <c r="R623" s="149"/>
      <c r="S623" s="149"/>
      <c r="W623" s="149"/>
      <c r="X623" s="149"/>
      <c r="Y623" s="149"/>
      <c r="Z623" s="149"/>
    </row>
    <row r="624" spans="1:26">
      <c r="A624" s="149"/>
      <c r="B624" s="149"/>
      <c r="C624" s="149"/>
      <c r="D624" s="149"/>
      <c r="E624" s="149"/>
      <c r="F624" s="149"/>
      <c r="G624" s="149"/>
      <c r="H624" s="149"/>
      <c r="I624" s="149"/>
      <c r="J624" s="149"/>
      <c r="K624" s="149"/>
      <c r="L624" s="149"/>
      <c r="M624" s="149"/>
      <c r="N624" s="149"/>
      <c r="O624" s="149"/>
      <c r="P624" s="149"/>
      <c r="Q624" s="149"/>
      <c r="R624" s="149"/>
      <c r="S624" s="149"/>
      <c r="W624" s="149"/>
      <c r="X624" s="149"/>
      <c r="Y624" s="149"/>
      <c r="Z624" s="149"/>
    </row>
    <row r="625" spans="1:26">
      <c r="A625" s="149"/>
      <c r="B625" s="149"/>
      <c r="C625" s="149"/>
      <c r="D625" s="149"/>
      <c r="E625" s="149"/>
      <c r="F625" s="149"/>
      <c r="G625" s="149"/>
      <c r="H625" s="149"/>
      <c r="I625" s="149"/>
      <c r="J625" s="149"/>
      <c r="K625" s="149"/>
      <c r="L625" s="149"/>
      <c r="M625" s="149"/>
      <c r="N625" s="149"/>
      <c r="O625" s="149"/>
      <c r="P625" s="149"/>
      <c r="Q625" s="149"/>
      <c r="R625" s="149"/>
      <c r="S625" s="149"/>
      <c r="W625" s="149"/>
      <c r="X625" s="149"/>
      <c r="Y625" s="149"/>
      <c r="Z625" s="149"/>
    </row>
    <row r="626" spans="1:26">
      <c r="A626" s="149"/>
      <c r="B626" s="149"/>
      <c r="C626" s="149"/>
      <c r="D626" s="149"/>
      <c r="E626" s="149"/>
      <c r="F626" s="149"/>
      <c r="G626" s="149"/>
      <c r="H626" s="149"/>
      <c r="I626" s="149"/>
      <c r="J626" s="149"/>
      <c r="K626" s="149"/>
      <c r="L626" s="149"/>
      <c r="M626" s="149"/>
      <c r="N626" s="149"/>
      <c r="O626" s="149"/>
      <c r="P626" s="149"/>
      <c r="Q626" s="149"/>
      <c r="R626" s="149"/>
      <c r="S626" s="149"/>
      <c r="W626" s="149"/>
      <c r="X626" s="149"/>
      <c r="Y626" s="149"/>
      <c r="Z626" s="149"/>
    </row>
    <row r="627" spans="1:26">
      <c r="A627" s="149"/>
      <c r="B627" s="149"/>
      <c r="C627" s="149"/>
      <c r="D627" s="149"/>
      <c r="E627" s="149"/>
      <c r="F627" s="149"/>
      <c r="G627" s="149"/>
      <c r="H627" s="149"/>
      <c r="I627" s="149"/>
      <c r="J627" s="149"/>
      <c r="K627" s="149"/>
      <c r="L627" s="149"/>
      <c r="M627" s="149"/>
      <c r="N627" s="149"/>
      <c r="O627" s="149"/>
      <c r="P627" s="149"/>
      <c r="Q627" s="149"/>
      <c r="R627" s="149"/>
      <c r="S627" s="149"/>
      <c r="W627" s="149"/>
      <c r="X627" s="149"/>
      <c r="Y627" s="149"/>
      <c r="Z627" s="149"/>
    </row>
    <row r="628" spans="1:26">
      <c r="A628" s="149"/>
      <c r="B628" s="149"/>
      <c r="C628" s="149"/>
      <c r="D628" s="149"/>
      <c r="E628" s="149"/>
      <c r="F628" s="149"/>
      <c r="G628" s="149"/>
      <c r="H628" s="149"/>
      <c r="I628" s="149"/>
      <c r="J628" s="149"/>
      <c r="K628" s="149"/>
      <c r="L628" s="149"/>
      <c r="M628" s="149"/>
      <c r="N628" s="149"/>
      <c r="O628" s="149"/>
      <c r="P628" s="149"/>
      <c r="Q628" s="149"/>
      <c r="R628" s="149"/>
      <c r="S628" s="149"/>
      <c r="W628" s="149"/>
      <c r="X628" s="149"/>
      <c r="Y628" s="149"/>
      <c r="Z628" s="149"/>
    </row>
    <row r="629" spans="1:26">
      <c r="A629" s="149"/>
      <c r="B629" s="149"/>
      <c r="C629" s="149"/>
      <c r="D629" s="149"/>
      <c r="E629" s="149"/>
      <c r="F629" s="149"/>
      <c r="G629" s="149"/>
      <c r="H629" s="149"/>
      <c r="I629" s="149"/>
      <c r="J629" s="149"/>
      <c r="K629" s="149"/>
      <c r="L629" s="149"/>
      <c r="M629" s="149"/>
      <c r="N629" s="149"/>
      <c r="O629" s="149"/>
      <c r="P629" s="149"/>
      <c r="Q629" s="149"/>
      <c r="R629" s="149"/>
      <c r="S629" s="149"/>
      <c r="W629" s="149"/>
      <c r="X629" s="149"/>
      <c r="Y629" s="149"/>
      <c r="Z629" s="149"/>
    </row>
    <row r="630" spans="1:26">
      <c r="A630" s="149"/>
      <c r="B630" s="149"/>
      <c r="C630" s="149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W630" s="149"/>
      <c r="X630" s="149"/>
      <c r="Y630" s="149"/>
      <c r="Z630" s="149"/>
    </row>
    <row r="631" spans="1:26">
      <c r="A631" s="149"/>
      <c r="B631" s="149"/>
      <c r="C631" s="149"/>
      <c r="D631" s="149"/>
      <c r="E631" s="149"/>
      <c r="F631" s="149"/>
      <c r="G631" s="149"/>
      <c r="H631" s="149"/>
      <c r="I631" s="149"/>
      <c r="J631" s="149"/>
      <c r="K631" s="149"/>
      <c r="L631" s="149"/>
      <c r="M631" s="149"/>
      <c r="N631" s="149"/>
      <c r="O631" s="149"/>
      <c r="P631" s="149"/>
      <c r="Q631" s="149"/>
      <c r="R631" s="149"/>
      <c r="S631" s="149"/>
      <c r="W631" s="149"/>
      <c r="X631" s="149"/>
      <c r="Y631" s="149"/>
      <c r="Z631" s="149"/>
    </row>
    <row r="632" spans="1:26">
      <c r="A632" s="149"/>
      <c r="B632" s="149"/>
      <c r="C632" s="149"/>
      <c r="D632" s="149"/>
      <c r="E632" s="149"/>
      <c r="F632" s="149"/>
      <c r="G632" s="149"/>
      <c r="H632" s="149"/>
      <c r="I632" s="149"/>
      <c r="J632" s="149"/>
      <c r="K632" s="149"/>
      <c r="L632" s="149"/>
      <c r="M632" s="149"/>
      <c r="N632" s="149"/>
      <c r="O632" s="149"/>
      <c r="P632" s="149"/>
      <c r="Q632" s="149"/>
      <c r="R632" s="149"/>
      <c r="S632" s="149"/>
      <c r="W632" s="149"/>
      <c r="X632" s="149"/>
      <c r="Y632" s="149"/>
      <c r="Z632" s="149"/>
    </row>
    <row r="633" spans="1:26">
      <c r="A633" s="149"/>
      <c r="B633" s="149"/>
      <c r="C633" s="149"/>
      <c r="D633" s="149"/>
      <c r="E633" s="149"/>
      <c r="F633" s="149"/>
      <c r="G633" s="149"/>
      <c r="H633" s="149"/>
      <c r="I633" s="149"/>
      <c r="J633" s="149"/>
      <c r="K633" s="149"/>
      <c r="L633" s="149"/>
      <c r="M633" s="149"/>
      <c r="N633" s="149"/>
      <c r="O633" s="149"/>
      <c r="P633" s="149"/>
      <c r="Q633" s="149"/>
      <c r="R633" s="149"/>
      <c r="S633" s="149"/>
      <c r="W633" s="149"/>
      <c r="X633" s="149"/>
      <c r="Y633" s="149"/>
      <c r="Z633" s="149"/>
    </row>
    <row r="634" spans="1:26">
      <c r="A634" s="149"/>
      <c r="B634" s="149"/>
      <c r="C634" s="149"/>
      <c r="D634" s="149"/>
      <c r="E634" s="149"/>
      <c r="F634" s="149"/>
      <c r="G634" s="149"/>
      <c r="H634" s="149"/>
      <c r="I634" s="149"/>
      <c r="J634" s="149"/>
      <c r="K634" s="149"/>
      <c r="L634" s="149"/>
      <c r="M634" s="149"/>
      <c r="N634" s="149"/>
      <c r="O634" s="149"/>
      <c r="P634" s="149"/>
      <c r="Q634" s="149"/>
      <c r="R634" s="149"/>
      <c r="S634" s="149"/>
      <c r="W634" s="149"/>
      <c r="X634" s="149"/>
      <c r="Y634" s="149"/>
      <c r="Z634" s="149"/>
    </row>
    <row r="635" spans="1:26">
      <c r="A635" s="149"/>
      <c r="B635" s="149"/>
      <c r="C635" s="149"/>
      <c r="D635" s="149"/>
      <c r="E635" s="149"/>
      <c r="F635" s="149"/>
      <c r="G635" s="149"/>
      <c r="H635" s="149"/>
      <c r="I635" s="149"/>
      <c r="J635" s="149"/>
      <c r="K635" s="149"/>
      <c r="L635" s="149"/>
      <c r="M635" s="149"/>
      <c r="N635" s="149"/>
      <c r="O635" s="149"/>
      <c r="P635" s="149"/>
      <c r="Q635" s="149"/>
      <c r="R635" s="149"/>
      <c r="S635" s="149"/>
      <c r="W635" s="149"/>
      <c r="X635" s="149"/>
      <c r="Y635" s="149"/>
      <c r="Z635" s="149"/>
    </row>
    <row r="636" spans="1:26">
      <c r="A636" s="149"/>
      <c r="B636" s="149"/>
      <c r="C636" s="149"/>
      <c r="D636" s="149"/>
      <c r="E636" s="149"/>
      <c r="F636" s="149"/>
      <c r="G636" s="149"/>
      <c r="H636" s="149"/>
      <c r="I636" s="149"/>
      <c r="J636" s="149"/>
      <c r="K636" s="149"/>
      <c r="L636" s="149"/>
      <c r="M636" s="149"/>
      <c r="N636" s="149"/>
      <c r="O636" s="149"/>
      <c r="P636" s="149"/>
      <c r="Q636" s="149"/>
      <c r="R636" s="149"/>
      <c r="S636" s="149"/>
      <c r="W636" s="149"/>
      <c r="X636" s="149"/>
      <c r="Y636" s="149"/>
      <c r="Z636" s="149"/>
    </row>
    <row r="637" spans="1:26">
      <c r="A637" s="149"/>
      <c r="B637" s="149"/>
      <c r="C637" s="149"/>
      <c r="D637" s="149"/>
      <c r="E637" s="149"/>
      <c r="F637" s="149"/>
      <c r="G637" s="149"/>
      <c r="H637" s="149"/>
      <c r="I637" s="149"/>
      <c r="J637" s="149"/>
      <c r="K637" s="149"/>
      <c r="L637" s="149"/>
      <c r="M637" s="149"/>
      <c r="N637" s="149"/>
      <c r="O637" s="149"/>
      <c r="P637" s="149"/>
      <c r="Q637" s="149"/>
      <c r="R637" s="149"/>
      <c r="S637" s="149"/>
      <c r="W637" s="149"/>
      <c r="X637" s="149"/>
      <c r="Y637" s="149"/>
      <c r="Z637" s="149"/>
    </row>
    <row r="638" spans="1:26">
      <c r="A638" s="149"/>
      <c r="B638" s="149"/>
      <c r="C638" s="149"/>
      <c r="D638" s="149"/>
      <c r="E638" s="149"/>
      <c r="F638" s="149"/>
      <c r="G638" s="149"/>
      <c r="H638" s="149"/>
      <c r="I638" s="149"/>
      <c r="J638" s="149"/>
      <c r="K638" s="149"/>
      <c r="L638" s="149"/>
      <c r="M638" s="149"/>
      <c r="N638" s="149"/>
      <c r="O638" s="149"/>
      <c r="P638" s="149"/>
      <c r="Q638" s="149"/>
      <c r="R638" s="149"/>
      <c r="S638" s="149"/>
      <c r="W638" s="149"/>
      <c r="X638" s="149"/>
      <c r="Y638" s="149"/>
      <c r="Z638" s="149"/>
    </row>
    <row r="639" spans="1:26">
      <c r="A639" s="149"/>
      <c r="B639" s="149"/>
      <c r="C639" s="149"/>
      <c r="D639" s="149"/>
      <c r="E639" s="149"/>
      <c r="F639" s="149"/>
      <c r="G639" s="149"/>
      <c r="H639" s="149"/>
      <c r="I639" s="149"/>
      <c r="J639" s="149"/>
      <c r="K639" s="149"/>
      <c r="L639" s="149"/>
      <c r="M639" s="149"/>
      <c r="N639" s="149"/>
      <c r="O639" s="149"/>
      <c r="P639" s="149"/>
      <c r="Q639" s="149"/>
      <c r="R639" s="149"/>
      <c r="S639" s="149"/>
      <c r="W639" s="149"/>
      <c r="X639" s="149"/>
      <c r="Y639" s="149"/>
      <c r="Z639" s="149"/>
    </row>
    <row r="640" spans="1:26">
      <c r="A640" s="149"/>
      <c r="B640" s="149"/>
      <c r="C640" s="149"/>
      <c r="D640" s="149"/>
      <c r="E640" s="149"/>
      <c r="F640" s="149"/>
      <c r="G640" s="149"/>
      <c r="H640" s="149"/>
      <c r="I640" s="149"/>
      <c r="J640" s="149"/>
      <c r="K640" s="149"/>
      <c r="L640" s="149"/>
      <c r="M640" s="149"/>
      <c r="N640" s="149"/>
      <c r="O640" s="149"/>
      <c r="P640" s="149"/>
      <c r="Q640" s="149"/>
      <c r="R640" s="149"/>
      <c r="S640" s="149"/>
      <c r="W640" s="149"/>
      <c r="X640" s="149"/>
      <c r="Y640" s="149"/>
      <c r="Z640" s="149"/>
    </row>
    <row r="641" spans="1:26">
      <c r="A641" s="149"/>
      <c r="B641" s="149"/>
      <c r="C641" s="149"/>
      <c r="D641" s="149"/>
      <c r="E641" s="149"/>
      <c r="F641" s="149"/>
      <c r="G641" s="149"/>
      <c r="H641" s="149"/>
      <c r="I641" s="149"/>
      <c r="J641" s="149"/>
      <c r="K641" s="149"/>
      <c r="L641" s="149"/>
      <c r="M641" s="149"/>
      <c r="N641" s="149"/>
      <c r="O641" s="149"/>
      <c r="P641" s="149"/>
      <c r="Q641" s="149"/>
      <c r="R641" s="149"/>
      <c r="S641" s="149"/>
      <c r="W641" s="149"/>
      <c r="X641" s="149"/>
      <c r="Y641" s="149"/>
      <c r="Z641" s="149"/>
    </row>
    <row r="642" spans="1:26">
      <c r="A642" s="149"/>
      <c r="B642" s="149"/>
      <c r="C642" s="149"/>
      <c r="D642" s="149"/>
      <c r="E642" s="149"/>
      <c r="F642" s="149"/>
      <c r="G642" s="149"/>
      <c r="H642" s="149"/>
      <c r="I642" s="149"/>
      <c r="J642" s="149"/>
      <c r="K642" s="149"/>
      <c r="L642" s="149"/>
      <c r="M642" s="149"/>
      <c r="N642" s="149"/>
      <c r="O642" s="149"/>
      <c r="P642" s="149"/>
      <c r="Q642" s="149"/>
      <c r="R642" s="149"/>
      <c r="S642" s="149"/>
      <c r="W642" s="149"/>
      <c r="X642" s="149"/>
      <c r="Y642" s="149"/>
      <c r="Z642" s="149"/>
    </row>
    <row r="643" spans="1:26">
      <c r="A643" s="149"/>
      <c r="B643" s="149"/>
      <c r="C643" s="149"/>
      <c r="D643" s="149"/>
      <c r="E643" s="149"/>
      <c r="F643" s="149"/>
      <c r="G643" s="149"/>
      <c r="H643" s="149"/>
      <c r="I643" s="149"/>
      <c r="J643" s="149"/>
      <c r="K643" s="149"/>
      <c r="L643" s="149"/>
      <c r="M643" s="149"/>
      <c r="N643" s="149"/>
      <c r="O643" s="149"/>
      <c r="P643" s="149"/>
      <c r="Q643" s="149"/>
      <c r="R643" s="149"/>
      <c r="S643" s="149"/>
      <c r="W643" s="149"/>
      <c r="X643" s="149"/>
      <c r="Y643" s="149"/>
      <c r="Z643" s="149"/>
    </row>
    <row r="644" spans="1:26">
      <c r="A644" s="149"/>
      <c r="B644" s="149"/>
      <c r="C644" s="149"/>
      <c r="D644" s="149"/>
      <c r="E644" s="149"/>
      <c r="F644" s="149"/>
      <c r="G644" s="149"/>
      <c r="H644" s="149"/>
      <c r="I644" s="149"/>
      <c r="J644" s="149"/>
      <c r="K644" s="149"/>
      <c r="L644" s="149"/>
      <c r="M644" s="149"/>
      <c r="N644" s="149"/>
      <c r="O644" s="149"/>
      <c r="P644" s="149"/>
      <c r="Q644" s="149"/>
      <c r="R644" s="149"/>
      <c r="S644" s="149"/>
      <c r="W644" s="149"/>
      <c r="X644" s="149"/>
      <c r="Y644" s="149"/>
      <c r="Z644" s="149"/>
    </row>
    <row r="645" spans="1:26">
      <c r="A645" s="149"/>
      <c r="B645" s="149"/>
      <c r="C645" s="149"/>
      <c r="D645" s="149"/>
      <c r="E645" s="149"/>
      <c r="F645" s="149"/>
      <c r="G645" s="149"/>
      <c r="H645" s="149"/>
      <c r="I645" s="149"/>
      <c r="J645" s="149"/>
      <c r="K645" s="149"/>
      <c r="L645" s="149"/>
      <c r="M645" s="149"/>
      <c r="N645" s="149"/>
      <c r="O645" s="149"/>
      <c r="P645" s="149"/>
      <c r="Q645" s="149"/>
      <c r="R645" s="149"/>
      <c r="S645" s="149"/>
      <c r="W645" s="149"/>
      <c r="X645" s="149"/>
      <c r="Y645" s="149"/>
      <c r="Z645" s="149"/>
    </row>
    <row r="646" spans="1:26">
      <c r="A646" s="149"/>
      <c r="B646" s="149"/>
      <c r="C646" s="149"/>
      <c r="D646" s="149"/>
      <c r="E646" s="149"/>
      <c r="F646" s="149"/>
      <c r="G646" s="149"/>
      <c r="H646" s="149"/>
      <c r="I646" s="149"/>
      <c r="J646" s="149"/>
      <c r="K646" s="149"/>
      <c r="L646" s="149"/>
      <c r="M646" s="149"/>
      <c r="N646" s="149"/>
      <c r="O646" s="149"/>
      <c r="P646" s="149"/>
      <c r="Q646" s="149"/>
      <c r="R646" s="149"/>
      <c r="S646" s="149"/>
      <c r="W646" s="149"/>
      <c r="X646" s="149"/>
      <c r="Y646" s="149"/>
      <c r="Z646" s="149"/>
    </row>
    <row r="647" spans="1:26">
      <c r="A647" s="149"/>
      <c r="B647" s="149"/>
      <c r="C647" s="149"/>
      <c r="D647" s="149"/>
      <c r="E647" s="149"/>
      <c r="F647" s="149"/>
      <c r="G647" s="149"/>
      <c r="H647" s="149"/>
      <c r="I647" s="149"/>
      <c r="J647" s="149"/>
      <c r="K647" s="149"/>
      <c r="L647" s="149"/>
      <c r="M647" s="149"/>
      <c r="N647" s="149"/>
      <c r="O647" s="149"/>
      <c r="P647" s="149"/>
      <c r="Q647" s="149"/>
      <c r="R647" s="149"/>
      <c r="S647" s="149"/>
      <c r="W647" s="149"/>
      <c r="X647" s="149"/>
      <c r="Y647" s="149"/>
      <c r="Z647" s="149"/>
    </row>
    <row r="648" spans="1:26">
      <c r="A648" s="149"/>
      <c r="B648" s="149"/>
      <c r="C648" s="149"/>
      <c r="D648" s="149"/>
      <c r="E648" s="149"/>
      <c r="F648" s="149"/>
      <c r="G648" s="149"/>
      <c r="H648" s="149"/>
      <c r="I648" s="149"/>
      <c r="J648" s="149"/>
      <c r="K648" s="149"/>
      <c r="L648" s="149"/>
      <c r="M648" s="149"/>
      <c r="N648" s="149"/>
      <c r="O648" s="149"/>
      <c r="P648" s="149"/>
      <c r="Q648" s="149"/>
      <c r="R648" s="149"/>
      <c r="S648" s="149"/>
      <c r="W648" s="149"/>
      <c r="X648" s="149"/>
      <c r="Y648" s="149"/>
      <c r="Z648" s="149"/>
    </row>
    <row r="649" spans="1:26">
      <c r="A649" s="149"/>
      <c r="B649" s="149"/>
      <c r="C649" s="149"/>
      <c r="D649" s="149"/>
      <c r="E649" s="149"/>
      <c r="F649" s="149"/>
      <c r="G649" s="149"/>
      <c r="H649" s="149"/>
      <c r="I649" s="149"/>
      <c r="J649" s="149"/>
      <c r="K649" s="149"/>
      <c r="L649" s="149"/>
      <c r="M649" s="149"/>
      <c r="N649" s="149"/>
      <c r="O649" s="149"/>
      <c r="P649" s="149"/>
      <c r="Q649" s="149"/>
      <c r="R649" s="149"/>
      <c r="S649" s="149"/>
      <c r="W649" s="149"/>
      <c r="X649" s="149"/>
      <c r="Y649" s="149"/>
      <c r="Z649" s="149"/>
    </row>
    <row r="650" spans="1:26">
      <c r="A650" s="149"/>
      <c r="B650" s="149"/>
      <c r="C650" s="149"/>
      <c r="D650" s="149"/>
      <c r="E650" s="149"/>
      <c r="F650" s="149"/>
      <c r="G650" s="149"/>
      <c r="H650" s="149"/>
      <c r="I650" s="149"/>
      <c r="J650" s="149"/>
      <c r="K650" s="149"/>
      <c r="L650" s="149"/>
      <c r="M650" s="149"/>
      <c r="N650" s="149"/>
      <c r="O650" s="149"/>
      <c r="P650" s="149"/>
      <c r="Q650" s="149"/>
      <c r="R650" s="149"/>
      <c r="S650" s="149"/>
      <c r="W650" s="149"/>
      <c r="X650" s="149"/>
      <c r="Y650" s="149"/>
      <c r="Z650" s="149"/>
    </row>
    <row r="651" spans="1:26">
      <c r="A651" s="149"/>
      <c r="B651" s="149"/>
      <c r="C651" s="149"/>
      <c r="D651" s="149"/>
      <c r="E651" s="149"/>
      <c r="F651" s="149"/>
      <c r="G651" s="149"/>
      <c r="H651" s="149"/>
      <c r="I651" s="149"/>
      <c r="J651" s="149"/>
      <c r="K651" s="149"/>
      <c r="L651" s="149"/>
      <c r="M651" s="149"/>
      <c r="N651" s="149"/>
      <c r="O651" s="149"/>
      <c r="P651" s="149"/>
      <c r="Q651" s="149"/>
      <c r="R651" s="149"/>
      <c r="S651" s="149"/>
      <c r="W651" s="149"/>
      <c r="X651" s="149"/>
      <c r="Y651" s="149"/>
      <c r="Z651" s="149"/>
    </row>
    <row r="652" spans="1:26">
      <c r="A652" s="149"/>
      <c r="B652" s="149"/>
      <c r="C652" s="149"/>
      <c r="D652" s="149"/>
      <c r="E652" s="149"/>
      <c r="F652" s="149"/>
      <c r="G652" s="149"/>
      <c r="H652" s="149"/>
      <c r="I652" s="149"/>
      <c r="J652" s="149"/>
      <c r="K652" s="149"/>
      <c r="L652" s="149"/>
      <c r="M652" s="149"/>
      <c r="N652" s="149"/>
      <c r="O652" s="149"/>
      <c r="P652" s="149"/>
      <c r="Q652" s="149"/>
      <c r="R652" s="149"/>
      <c r="S652" s="149"/>
      <c r="W652" s="149"/>
      <c r="X652" s="149"/>
      <c r="Y652" s="149"/>
      <c r="Z652" s="149"/>
    </row>
    <row r="653" spans="1:26">
      <c r="A653" s="149"/>
      <c r="B653" s="149"/>
      <c r="C653" s="149"/>
      <c r="D653" s="149"/>
      <c r="E653" s="149"/>
      <c r="F653" s="149"/>
      <c r="G653" s="149"/>
      <c r="H653" s="149"/>
      <c r="I653" s="149"/>
      <c r="J653" s="149"/>
      <c r="K653" s="149"/>
      <c r="L653" s="149"/>
      <c r="M653" s="149"/>
      <c r="N653" s="149"/>
      <c r="O653" s="149"/>
      <c r="P653" s="149"/>
      <c r="Q653" s="149"/>
      <c r="R653" s="149"/>
      <c r="S653" s="149"/>
      <c r="W653" s="149"/>
      <c r="X653" s="149"/>
      <c r="Y653" s="149"/>
      <c r="Z653" s="149"/>
    </row>
    <row r="654" spans="1:26">
      <c r="A654" s="149"/>
      <c r="B654" s="149"/>
      <c r="C654" s="149"/>
      <c r="D654" s="149"/>
      <c r="E654" s="149"/>
      <c r="F654" s="149"/>
      <c r="G654" s="149"/>
      <c r="H654" s="149"/>
      <c r="I654" s="149"/>
      <c r="J654" s="149"/>
      <c r="K654" s="149"/>
      <c r="L654" s="149"/>
      <c r="M654" s="149"/>
      <c r="N654" s="149"/>
      <c r="O654" s="149"/>
      <c r="P654" s="149"/>
      <c r="Q654" s="149"/>
      <c r="R654" s="149"/>
      <c r="S654" s="149"/>
      <c r="W654" s="149"/>
      <c r="X654" s="149"/>
      <c r="Y654" s="149"/>
      <c r="Z654" s="149"/>
    </row>
    <row r="655" spans="1:26">
      <c r="A655" s="149"/>
      <c r="B655" s="149"/>
      <c r="C655" s="149"/>
      <c r="D655" s="149"/>
      <c r="E655" s="149"/>
      <c r="F655" s="149"/>
      <c r="G655" s="149"/>
      <c r="H655" s="149"/>
      <c r="I655" s="149"/>
      <c r="J655" s="149"/>
      <c r="K655" s="149"/>
      <c r="L655" s="149"/>
      <c r="M655" s="149"/>
      <c r="N655" s="149"/>
      <c r="O655" s="149"/>
      <c r="P655" s="149"/>
      <c r="Q655" s="149"/>
      <c r="R655" s="149"/>
      <c r="S655" s="149"/>
      <c r="W655" s="149"/>
      <c r="X655" s="149"/>
      <c r="Y655" s="149"/>
      <c r="Z655" s="149"/>
    </row>
    <row r="656" spans="1:26">
      <c r="A656" s="149"/>
      <c r="B656" s="149"/>
      <c r="C656" s="149"/>
      <c r="D656" s="149"/>
      <c r="E656" s="149"/>
      <c r="F656" s="149"/>
      <c r="G656" s="149"/>
      <c r="H656" s="149"/>
      <c r="I656" s="149"/>
      <c r="J656" s="149"/>
      <c r="K656" s="149"/>
      <c r="L656" s="149"/>
      <c r="M656" s="149"/>
      <c r="N656" s="149"/>
      <c r="O656" s="149"/>
      <c r="P656" s="149"/>
      <c r="Q656" s="149"/>
      <c r="R656" s="149"/>
      <c r="S656" s="149"/>
      <c r="W656" s="149"/>
      <c r="X656" s="149"/>
      <c r="Y656" s="149"/>
      <c r="Z656" s="149"/>
    </row>
    <row r="657" spans="1:26">
      <c r="A657" s="149"/>
      <c r="B657" s="149"/>
      <c r="C657" s="149"/>
      <c r="D657" s="149"/>
      <c r="E657" s="149"/>
      <c r="F657" s="149"/>
      <c r="G657" s="149"/>
      <c r="H657" s="149"/>
      <c r="I657" s="149"/>
      <c r="J657" s="149"/>
      <c r="K657" s="149"/>
      <c r="L657" s="149"/>
      <c r="M657" s="149"/>
      <c r="N657" s="149"/>
      <c r="O657" s="149"/>
      <c r="P657" s="149"/>
      <c r="Q657" s="149"/>
      <c r="R657" s="149"/>
      <c r="S657" s="149"/>
      <c r="W657" s="149"/>
      <c r="X657" s="149"/>
      <c r="Y657" s="149"/>
      <c r="Z657" s="149"/>
    </row>
    <row r="658" spans="1:26">
      <c r="A658" s="149"/>
      <c r="B658" s="149"/>
      <c r="C658" s="149"/>
      <c r="D658" s="149"/>
      <c r="E658" s="149"/>
      <c r="F658" s="149"/>
      <c r="G658" s="149"/>
      <c r="H658" s="149"/>
      <c r="I658" s="149"/>
      <c r="J658" s="149"/>
      <c r="K658" s="149"/>
      <c r="L658" s="149"/>
      <c r="M658" s="149"/>
      <c r="N658" s="149"/>
      <c r="O658" s="149"/>
      <c r="P658" s="149"/>
      <c r="Q658" s="149"/>
      <c r="R658" s="149"/>
      <c r="S658" s="149"/>
      <c r="W658" s="149"/>
      <c r="X658" s="149"/>
      <c r="Y658" s="149"/>
      <c r="Z658" s="149"/>
    </row>
    <row r="659" spans="1:26">
      <c r="A659" s="149"/>
      <c r="B659" s="149"/>
      <c r="C659" s="149"/>
      <c r="D659" s="149"/>
      <c r="E659" s="149"/>
      <c r="F659" s="149"/>
      <c r="G659" s="149"/>
      <c r="H659" s="149"/>
      <c r="I659" s="149"/>
      <c r="J659" s="149"/>
      <c r="K659" s="149"/>
      <c r="L659" s="149"/>
      <c r="M659" s="149"/>
      <c r="N659" s="149"/>
      <c r="O659" s="149"/>
      <c r="P659" s="149"/>
      <c r="Q659" s="149"/>
      <c r="R659" s="149"/>
      <c r="S659" s="149"/>
      <c r="W659" s="149"/>
      <c r="X659" s="149"/>
      <c r="Y659" s="149"/>
      <c r="Z659" s="149"/>
    </row>
    <row r="660" spans="1:26">
      <c r="A660" s="149"/>
      <c r="B660" s="149"/>
      <c r="C660" s="149"/>
      <c r="D660" s="149"/>
      <c r="E660" s="149"/>
      <c r="F660" s="149"/>
      <c r="G660" s="149"/>
      <c r="H660" s="149"/>
      <c r="I660" s="149"/>
      <c r="J660" s="149"/>
      <c r="K660" s="149"/>
      <c r="L660" s="149"/>
      <c r="M660" s="149"/>
      <c r="N660" s="149"/>
      <c r="O660" s="149"/>
      <c r="P660" s="149"/>
      <c r="Q660" s="149"/>
      <c r="R660" s="149"/>
      <c r="S660" s="149"/>
      <c r="W660" s="149"/>
      <c r="X660" s="149"/>
      <c r="Y660" s="149"/>
      <c r="Z660" s="149"/>
    </row>
    <row r="661" spans="1:26">
      <c r="A661" s="149"/>
      <c r="B661" s="149"/>
      <c r="C661" s="149"/>
      <c r="D661" s="149"/>
      <c r="E661" s="149"/>
      <c r="F661" s="149"/>
      <c r="G661" s="149"/>
      <c r="H661" s="149"/>
      <c r="I661" s="149"/>
      <c r="J661" s="149"/>
      <c r="K661" s="149"/>
      <c r="L661" s="149"/>
      <c r="M661" s="149"/>
      <c r="N661" s="149"/>
      <c r="O661" s="149"/>
      <c r="P661" s="149"/>
      <c r="Q661" s="149"/>
      <c r="R661" s="149"/>
      <c r="S661" s="149"/>
      <c r="W661" s="149"/>
      <c r="X661" s="149"/>
      <c r="Y661" s="149"/>
      <c r="Z661" s="149"/>
    </row>
    <row r="662" spans="1:26">
      <c r="A662" s="149"/>
      <c r="B662" s="149"/>
      <c r="C662" s="149"/>
      <c r="D662" s="149"/>
      <c r="E662" s="149"/>
      <c r="F662" s="149"/>
      <c r="G662" s="149"/>
      <c r="H662" s="149"/>
      <c r="I662" s="149"/>
      <c r="J662" s="149"/>
      <c r="K662" s="149"/>
      <c r="L662" s="149"/>
      <c r="M662" s="149"/>
      <c r="N662" s="149"/>
      <c r="O662" s="149"/>
      <c r="P662" s="149"/>
      <c r="Q662" s="149"/>
      <c r="R662" s="149"/>
      <c r="S662" s="149"/>
      <c r="W662" s="149"/>
      <c r="X662" s="149"/>
      <c r="Y662" s="149"/>
      <c r="Z662" s="149"/>
    </row>
    <row r="663" spans="1:26">
      <c r="A663" s="149"/>
      <c r="B663" s="149"/>
      <c r="C663" s="149"/>
      <c r="D663" s="149"/>
      <c r="E663" s="149"/>
      <c r="F663" s="149"/>
      <c r="G663" s="149"/>
      <c r="H663" s="149"/>
      <c r="I663" s="149"/>
      <c r="J663" s="149"/>
      <c r="K663" s="149"/>
      <c r="L663" s="149"/>
      <c r="M663" s="149"/>
      <c r="N663" s="149"/>
      <c r="O663" s="149"/>
      <c r="P663" s="149"/>
      <c r="Q663" s="149"/>
      <c r="R663" s="149"/>
      <c r="S663" s="149"/>
      <c r="W663" s="149"/>
      <c r="X663" s="149"/>
      <c r="Y663" s="149"/>
      <c r="Z663" s="149"/>
    </row>
    <row r="664" spans="1:26">
      <c r="A664" s="149"/>
      <c r="B664" s="149"/>
      <c r="C664" s="149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W664" s="149"/>
      <c r="X664" s="149"/>
      <c r="Y664" s="149"/>
      <c r="Z664" s="149"/>
    </row>
    <row r="665" spans="1:26">
      <c r="A665" s="149"/>
      <c r="B665" s="149"/>
      <c r="C665" s="149"/>
      <c r="D665" s="149"/>
      <c r="E665" s="149"/>
      <c r="F665" s="149"/>
      <c r="G665" s="149"/>
      <c r="H665" s="149"/>
      <c r="I665" s="149"/>
      <c r="J665" s="149"/>
      <c r="K665" s="149"/>
      <c r="L665" s="149"/>
      <c r="M665" s="149"/>
      <c r="N665" s="149"/>
      <c r="O665" s="149"/>
      <c r="P665" s="149"/>
      <c r="Q665" s="149"/>
      <c r="R665" s="149"/>
      <c r="S665" s="149"/>
      <c r="W665" s="149"/>
      <c r="X665" s="149"/>
      <c r="Y665" s="149"/>
      <c r="Z665" s="149"/>
    </row>
    <row r="666" spans="1:26">
      <c r="A666" s="149"/>
      <c r="B666" s="149"/>
      <c r="C666" s="149"/>
      <c r="D666" s="149"/>
      <c r="E666" s="149"/>
      <c r="F666" s="149"/>
      <c r="G666" s="149"/>
      <c r="H666" s="149"/>
      <c r="I666" s="149"/>
      <c r="J666" s="149"/>
      <c r="K666" s="149"/>
      <c r="L666" s="149"/>
      <c r="M666" s="149"/>
      <c r="N666" s="149"/>
      <c r="O666" s="149"/>
      <c r="P666" s="149"/>
      <c r="Q666" s="149"/>
      <c r="R666" s="149"/>
      <c r="S666" s="149"/>
      <c r="W666" s="149"/>
      <c r="X666" s="149"/>
      <c r="Y666" s="149"/>
      <c r="Z666" s="149"/>
    </row>
    <row r="667" spans="1:26">
      <c r="A667" s="149"/>
      <c r="B667" s="149"/>
      <c r="C667" s="149"/>
      <c r="D667" s="149"/>
      <c r="E667" s="149"/>
      <c r="F667" s="149"/>
      <c r="G667" s="149"/>
      <c r="H667" s="149"/>
      <c r="I667" s="149"/>
      <c r="J667" s="149"/>
      <c r="K667" s="149"/>
      <c r="L667" s="149"/>
      <c r="M667" s="149"/>
      <c r="N667" s="149"/>
      <c r="O667" s="149"/>
      <c r="P667" s="149"/>
      <c r="Q667" s="149"/>
      <c r="R667" s="149"/>
      <c r="S667" s="149"/>
      <c r="W667" s="149"/>
      <c r="X667" s="149"/>
      <c r="Y667" s="149"/>
      <c r="Z667" s="149"/>
    </row>
    <row r="668" spans="1:26">
      <c r="A668" s="149"/>
      <c r="B668" s="149"/>
      <c r="C668" s="149"/>
      <c r="D668" s="149"/>
      <c r="E668" s="149"/>
      <c r="F668" s="149"/>
      <c r="G668" s="149"/>
      <c r="H668" s="149"/>
      <c r="I668" s="149"/>
      <c r="J668" s="149"/>
      <c r="K668" s="149"/>
      <c r="L668" s="149"/>
      <c r="M668" s="149"/>
      <c r="N668" s="149"/>
      <c r="O668" s="149"/>
      <c r="P668" s="149"/>
      <c r="Q668" s="149"/>
      <c r="R668" s="149"/>
      <c r="S668" s="149"/>
      <c r="W668" s="149"/>
      <c r="X668" s="149"/>
      <c r="Y668" s="149"/>
      <c r="Z668" s="149"/>
    </row>
    <row r="669" spans="1:26">
      <c r="A669" s="149"/>
      <c r="B669" s="149"/>
      <c r="C669" s="149"/>
      <c r="D669" s="149"/>
      <c r="E669" s="149"/>
      <c r="F669" s="149"/>
      <c r="G669" s="149"/>
      <c r="H669" s="149"/>
      <c r="I669" s="149"/>
      <c r="J669" s="149"/>
      <c r="K669" s="149"/>
      <c r="L669" s="149"/>
      <c r="M669" s="149"/>
      <c r="N669" s="149"/>
      <c r="O669" s="149"/>
      <c r="P669" s="149"/>
      <c r="Q669" s="149"/>
      <c r="R669" s="149"/>
      <c r="S669" s="149"/>
      <c r="W669" s="149"/>
      <c r="X669" s="149"/>
      <c r="Y669" s="149"/>
      <c r="Z669" s="149"/>
    </row>
    <row r="670" spans="1:26">
      <c r="A670" s="149"/>
      <c r="B670" s="149"/>
      <c r="C670" s="149"/>
      <c r="D670" s="149"/>
      <c r="E670" s="149"/>
      <c r="F670" s="149"/>
      <c r="G670" s="149"/>
      <c r="H670" s="149"/>
      <c r="I670" s="149"/>
      <c r="J670" s="149"/>
      <c r="K670" s="149"/>
      <c r="L670" s="149"/>
      <c r="M670" s="149"/>
      <c r="N670" s="149"/>
      <c r="O670" s="149"/>
      <c r="P670" s="149"/>
      <c r="Q670" s="149"/>
      <c r="R670" s="149"/>
      <c r="S670" s="149"/>
      <c r="W670" s="149"/>
      <c r="X670" s="149"/>
      <c r="Y670" s="149"/>
      <c r="Z670" s="149"/>
    </row>
    <row r="671" spans="1:26">
      <c r="A671" s="149"/>
      <c r="B671" s="149"/>
      <c r="C671" s="149"/>
      <c r="D671" s="149"/>
      <c r="E671" s="149"/>
      <c r="F671" s="149"/>
      <c r="G671" s="149"/>
      <c r="H671" s="149"/>
      <c r="I671" s="149"/>
      <c r="J671" s="149"/>
      <c r="K671" s="149"/>
      <c r="L671" s="149"/>
      <c r="M671" s="149"/>
      <c r="N671" s="149"/>
      <c r="O671" s="149"/>
      <c r="P671" s="149"/>
      <c r="Q671" s="149"/>
      <c r="R671" s="149"/>
      <c r="S671" s="149"/>
      <c r="W671" s="149"/>
      <c r="X671" s="149"/>
      <c r="Y671" s="149"/>
      <c r="Z671" s="149"/>
    </row>
    <row r="672" spans="1:26">
      <c r="A672" s="149"/>
      <c r="B672" s="149"/>
      <c r="C672" s="149"/>
      <c r="D672" s="149"/>
      <c r="E672" s="149"/>
      <c r="F672" s="149"/>
      <c r="G672" s="149"/>
      <c r="H672" s="149"/>
      <c r="I672" s="149"/>
      <c r="J672" s="149"/>
      <c r="K672" s="149"/>
      <c r="L672" s="149"/>
      <c r="M672" s="149"/>
      <c r="N672" s="149"/>
      <c r="O672" s="149"/>
      <c r="P672" s="149"/>
      <c r="Q672" s="149"/>
      <c r="R672" s="149"/>
      <c r="S672" s="149"/>
      <c r="W672" s="149"/>
      <c r="X672" s="149"/>
      <c r="Y672" s="149"/>
      <c r="Z672" s="149"/>
    </row>
    <row r="673" spans="1:26">
      <c r="A673" s="149"/>
      <c r="B673" s="149"/>
      <c r="C673" s="149"/>
      <c r="D673" s="149"/>
      <c r="E673" s="149"/>
      <c r="F673" s="149"/>
      <c r="G673" s="149"/>
      <c r="H673" s="149"/>
      <c r="I673" s="149"/>
      <c r="J673" s="149"/>
      <c r="K673" s="149"/>
      <c r="L673" s="149"/>
      <c r="M673" s="149"/>
      <c r="N673" s="149"/>
      <c r="O673" s="149"/>
      <c r="P673" s="149"/>
      <c r="Q673" s="149"/>
      <c r="R673" s="149"/>
      <c r="S673" s="149"/>
      <c r="W673" s="149"/>
      <c r="X673" s="149"/>
      <c r="Y673" s="149"/>
      <c r="Z673" s="149"/>
    </row>
    <row r="674" spans="1:26">
      <c r="A674" s="149"/>
      <c r="B674" s="149"/>
      <c r="C674" s="149"/>
      <c r="D674" s="149"/>
      <c r="E674" s="149"/>
      <c r="F674" s="149"/>
      <c r="G674" s="149"/>
      <c r="H674" s="149"/>
      <c r="I674" s="149"/>
      <c r="J674" s="149"/>
      <c r="K674" s="149"/>
      <c r="L674" s="149"/>
      <c r="M674" s="149"/>
      <c r="N674" s="149"/>
      <c r="O674" s="149"/>
      <c r="P674" s="149"/>
      <c r="Q674" s="149"/>
      <c r="R674" s="149"/>
      <c r="S674" s="149"/>
      <c r="W674" s="149"/>
      <c r="X674" s="149"/>
      <c r="Y674" s="149"/>
      <c r="Z674" s="149"/>
    </row>
    <row r="675" spans="1:26">
      <c r="A675" s="149"/>
      <c r="B675" s="149"/>
      <c r="C675" s="149"/>
      <c r="D675" s="149"/>
      <c r="E675" s="149"/>
      <c r="F675" s="149"/>
      <c r="G675" s="149"/>
      <c r="H675" s="149"/>
      <c r="I675" s="149"/>
      <c r="J675" s="149"/>
      <c r="K675" s="149"/>
      <c r="L675" s="149"/>
      <c r="M675" s="149"/>
      <c r="N675" s="149"/>
      <c r="O675" s="149"/>
      <c r="P675" s="149"/>
      <c r="Q675" s="149"/>
      <c r="R675" s="149"/>
      <c r="S675" s="149"/>
      <c r="W675" s="149"/>
      <c r="X675" s="149"/>
      <c r="Y675" s="149"/>
      <c r="Z675" s="149"/>
    </row>
    <row r="676" spans="1:26">
      <c r="A676" s="149"/>
      <c r="B676" s="149"/>
      <c r="C676" s="149"/>
      <c r="D676" s="149"/>
      <c r="E676" s="149"/>
      <c r="F676" s="149"/>
      <c r="G676" s="149"/>
      <c r="H676" s="149"/>
      <c r="I676" s="149"/>
      <c r="J676" s="149"/>
      <c r="K676" s="149"/>
      <c r="L676" s="149"/>
      <c r="M676" s="149"/>
      <c r="N676" s="149"/>
      <c r="O676" s="149"/>
      <c r="P676" s="149"/>
      <c r="Q676" s="149"/>
      <c r="R676" s="149"/>
      <c r="S676" s="149"/>
      <c r="W676" s="149"/>
      <c r="X676" s="149"/>
      <c r="Y676" s="149"/>
      <c r="Z676" s="149"/>
    </row>
    <row r="677" spans="1:26">
      <c r="A677" s="149"/>
      <c r="B677" s="149"/>
      <c r="C677" s="149"/>
      <c r="D677" s="149"/>
      <c r="E677" s="149"/>
      <c r="F677" s="149"/>
      <c r="G677" s="149"/>
      <c r="H677" s="149"/>
      <c r="I677" s="149"/>
      <c r="J677" s="149"/>
      <c r="K677" s="149"/>
      <c r="L677" s="149"/>
      <c r="M677" s="149"/>
      <c r="N677" s="149"/>
      <c r="O677" s="149"/>
      <c r="P677" s="149"/>
      <c r="Q677" s="149"/>
      <c r="R677" s="149"/>
      <c r="S677" s="149"/>
      <c r="W677" s="149"/>
      <c r="X677" s="149"/>
      <c r="Y677" s="149"/>
      <c r="Z677" s="149"/>
    </row>
    <row r="678" spans="1:26">
      <c r="A678" s="149"/>
      <c r="B678" s="149"/>
      <c r="C678" s="149"/>
      <c r="D678" s="149"/>
      <c r="E678" s="149"/>
      <c r="F678" s="149"/>
      <c r="G678" s="149"/>
      <c r="H678" s="149"/>
      <c r="I678" s="149"/>
      <c r="J678" s="149"/>
      <c r="K678" s="149"/>
      <c r="L678" s="149"/>
      <c r="M678" s="149"/>
      <c r="N678" s="149"/>
      <c r="O678" s="149"/>
      <c r="P678" s="149"/>
      <c r="Q678" s="149"/>
      <c r="R678" s="149"/>
      <c r="S678" s="149"/>
      <c r="W678" s="149"/>
      <c r="X678" s="149"/>
      <c r="Y678" s="149"/>
      <c r="Z678" s="149"/>
    </row>
    <row r="679" spans="1:26">
      <c r="A679" s="149"/>
      <c r="B679" s="149"/>
      <c r="C679" s="149"/>
      <c r="D679" s="149"/>
      <c r="E679" s="149"/>
      <c r="F679" s="149"/>
      <c r="G679" s="149"/>
      <c r="H679" s="149"/>
      <c r="I679" s="149"/>
      <c r="J679" s="149"/>
      <c r="K679" s="149"/>
      <c r="L679" s="149"/>
      <c r="M679" s="149"/>
      <c r="N679" s="149"/>
      <c r="O679" s="149"/>
      <c r="P679" s="149"/>
      <c r="Q679" s="149"/>
      <c r="R679" s="149"/>
      <c r="S679" s="149"/>
      <c r="W679" s="149"/>
      <c r="X679" s="149"/>
      <c r="Y679" s="149"/>
      <c r="Z679" s="149"/>
    </row>
    <row r="680" spans="1:26">
      <c r="A680" s="149"/>
      <c r="B680" s="149"/>
      <c r="C680" s="149"/>
      <c r="D680" s="149"/>
      <c r="E680" s="149"/>
      <c r="F680" s="149"/>
      <c r="G680" s="149"/>
      <c r="H680" s="149"/>
      <c r="I680" s="149"/>
      <c r="J680" s="149"/>
      <c r="K680" s="149"/>
      <c r="L680" s="149"/>
      <c r="M680" s="149"/>
      <c r="N680" s="149"/>
      <c r="O680" s="149"/>
      <c r="P680" s="149"/>
      <c r="Q680" s="149"/>
      <c r="R680" s="149"/>
      <c r="S680" s="149"/>
      <c r="W680" s="149"/>
      <c r="X680" s="149"/>
      <c r="Y680" s="149"/>
      <c r="Z680" s="149"/>
    </row>
    <row r="681" spans="1:26">
      <c r="A681" s="149"/>
      <c r="B681" s="149"/>
      <c r="C681" s="149"/>
      <c r="D681" s="149"/>
      <c r="E681" s="149"/>
      <c r="F681" s="149"/>
      <c r="G681" s="149"/>
      <c r="H681" s="149"/>
      <c r="I681" s="149"/>
      <c r="J681" s="149"/>
      <c r="K681" s="149"/>
      <c r="L681" s="149"/>
      <c r="M681" s="149"/>
      <c r="N681" s="149"/>
      <c r="O681" s="149"/>
      <c r="P681" s="149"/>
      <c r="Q681" s="149"/>
      <c r="R681" s="149"/>
      <c r="S681" s="149"/>
      <c r="W681" s="149"/>
      <c r="X681" s="149"/>
      <c r="Y681" s="149"/>
      <c r="Z681" s="149"/>
    </row>
    <row r="682" spans="1:26">
      <c r="S682" s="149"/>
      <c r="W682" s="149"/>
      <c r="X682" s="149"/>
      <c r="Y682" s="149"/>
      <c r="Z682" s="149"/>
    </row>
    <row r="683" spans="1:26">
      <c r="S683" s="149"/>
      <c r="W683" s="149"/>
      <c r="X683" s="149"/>
      <c r="Y683" s="149"/>
      <c r="Z683" s="149"/>
    </row>
    <row r="684" spans="1:26">
      <c r="S684" s="149"/>
      <c r="W684" s="149"/>
      <c r="X684" s="149"/>
      <c r="Y684" s="149"/>
      <c r="Z684" s="149"/>
    </row>
    <row r="685" spans="1:26">
      <c r="S685" s="149"/>
      <c r="W685" s="149"/>
      <c r="X685" s="149"/>
      <c r="Y685" s="149"/>
      <c r="Z685" s="149"/>
    </row>
    <row r="686" spans="1:26">
      <c r="S686" s="149"/>
      <c r="W686" s="149"/>
      <c r="X686" s="149"/>
      <c r="Y686" s="149"/>
      <c r="Z686" s="149"/>
    </row>
    <row r="687" spans="1:26">
      <c r="S687" s="149"/>
      <c r="W687" s="149"/>
      <c r="X687" s="149"/>
      <c r="Y687" s="149"/>
      <c r="Z687" s="149"/>
    </row>
    <row r="688" spans="1:26">
      <c r="S688" s="149"/>
      <c r="W688" s="149"/>
      <c r="X688" s="149"/>
      <c r="Y688" s="149"/>
      <c r="Z688" s="149"/>
    </row>
    <row r="689" spans="19:26">
      <c r="S689" s="149"/>
      <c r="W689" s="149"/>
      <c r="X689" s="149"/>
      <c r="Y689" s="149"/>
      <c r="Z689" s="149"/>
    </row>
    <row r="690" spans="19:26">
      <c r="S690" s="149"/>
      <c r="W690" s="149"/>
      <c r="X690" s="149"/>
      <c r="Y690" s="149"/>
      <c r="Z690" s="149"/>
    </row>
    <row r="691" spans="19:26">
      <c r="S691" s="149"/>
      <c r="W691" s="149"/>
      <c r="X691" s="149"/>
      <c r="Y691" s="149"/>
      <c r="Z691" s="149"/>
    </row>
    <row r="692" spans="19:26">
      <c r="S692" s="149"/>
      <c r="W692" s="149"/>
      <c r="X692" s="149"/>
      <c r="Y692" s="149"/>
      <c r="Z692" s="149"/>
    </row>
    <row r="693" spans="19:26">
      <c r="S693" s="149"/>
      <c r="W693" s="149"/>
      <c r="X693" s="149"/>
      <c r="Y693" s="149"/>
      <c r="Z693" s="149"/>
    </row>
    <row r="694" spans="19:26">
      <c r="S694" s="149"/>
      <c r="W694" s="149"/>
      <c r="X694" s="149"/>
      <c r="Y694" s="149"/>
      <c r="Z694" s="149"/>
    </row>
    <row r="695" spans="19:26">
      <c r="S695" s="149"/>
      <c r="W695" s="149"/>
      <c r="X695" s="149"/>
      <c r="Y695" s="149"/>
      <c r="Z695" s="149"/>
    </row>
    <row r="696" spans="19:26">
      <c r="S696" s="149"/>
      <c r="W696" s="149"/>
      <c r="X696" s="149"/>
      <c r="Y696" s="149"/>
      <c r="Z696" s="149"/>
    </row>
    <row r="697" spans="19:26">
      <c r="S697" s="149"/>
      <c r="W697" s="149"/>
      <c r="X697" s="149"/>
      <c r="Y697" s="149"/>
      <c r="Z697" s="149"/>
    </row>
    <row r="698" spans="19:26">
      <c r="S698" s="149"/>
      <c r="W698" s="149"/>
      <c r="X698" s="149"/>
      <c r="Y698" s="149"/>
      <c r="Z698" s="149"/>
    </row>
    <row r="699" spans="19:26">
      <c r="S699" s="149"/>
      <c r="W699" s="149"/>
      <c r="X699" s="149"/>
      <c r="Y699" s="149"/>
      <c r="Z699" s="149"/>
    </row>
    <row r="700" spans="19:26">
      <c r="S700" s="149"/>
      <c r="W700" s="149"/>
      <c r="X700" s="149"/>
      <c r="Y700" s="149"/>
      <c r="Z700" s="149"/>
    </row>
    <row r="701" spans="19:26">
      <c r="S701" s="149"/>
      <c r="W701" s="149"/>
      <c r="X701" s="149"/>
      <c r="Y701" s="149"/>
      <c r="Z701" s="149"/>
    </row>
    <row r="702" spans="19:26">
      <c r="S702" s="149"/>
      <c r="W702" s="149"/>
      <c r="X702" s="149"/>
      <c r="Y702" s="149"/>
      <c r="Z702" s="149"/>
    </row>
    <row r="703" spans="19:26">
      <c r="S703" s="149"/>
      <c r="W703" s="149"/>
      <c r="X703" s="149"/>
      <c r="Y703" s="149"/>
      <c r="Z703" s="149"/>
    </row>
    <row r="704" spans="19:26">
      <c r="S704" s="149"/>
      <c r="W704" s="149"/>
      <c r="X704" s="149"/>
      <c r="Y704" s="149"/>
      <c r="Z704" s="149"/>
    </row>
    <row r="705" spans="19:26">
      <c r="S705" s="149"/>
      <c r="W705" s="149"/>
      <c r="X705" s="149"/>
      <c r="Y705" s="149"/>
      <c r="Z705" s="149"/>
    </row>
    <row r="706" spans="19:26">
      <c r="S706" s="149"/>
      <c r="W706" s="149"/>
      <c r="X706" s="149"/>
      <c r="Y706" s="149"/>
      <c r="Z706" s="149"/>
    </row>
    <row r="707" spans="19:26">
      <c r="S707" s="149"/>
      <c r="W707" s="149"/>
      <c r="X707" s="149"/>
      <c r="Y707" s="149"/>
      <c r="Z707" s="149"/>
    </row>
  </sheetData>
  <sheetProtection algorithmName="SHA-512" hashValue="dnT9z/iAukvUxbn+oN3ubsumGhTp8gaUD0EWeNkKnwXYDwDixCEAxRK3fZuxmgd13KDDlMLkOkPPhjZ48VFXWQ==" saltValue="0R29pA8ncFeW5bwkTG1l1g==" spinCount="100000" sheet="1" objects="1" scenarios="1"/>
  <mergeCells count="2">
    <mergeCell ref="A35:F35"/>
    <mergeCell ref="A36:E36"/>
  </mergeCells>
  <phoneticPr fontId="2" type="noConversion"/>
  <pageMargins left="0.42" right="0.5" top="0.78" bottom="0.49" header="0.4921259845" footer="0.4921259845"/>
  <pageSetup paperSize="9" scale="38" orientation="landscape" verticalDpi="597" r:id="rId1"/>
  <headerFooter alignWithMargins="0"/>
  <colBreaks count="1" manualBreakCount="1">
    <brk id="1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indexed="52"/>
    <pageSetUpPr fitToPage="1"/>
  </sheetPr>
  <dimension ref="A1:GY711"/>
  <sheetViews>
    <sheetView showGridLines="0" zoomScale="70" zoomScaleNormal="70" workbookViewId="0">
      <selection activeCell="A10" sqref="A10"/>
    </sheetView>
  </sheetViews>
  <sheetFormatPr baseColWidth="10" defaultRowHeight="13.2"/>
  <cols>
    <col min="1" max="1" width="103.44140625" customWidth="1"/>
    <col min="2" max="2" width="21.88671875" customWidth="1"/>
    <col min="3" max="3" width="24.88671875" style="175" customWidth="1"/>
    <col min="4" max="13" width="14.6640625" customWidth="1"/>
    <col min="14" max="14" width="29.6640625" customWidth="1"/>
    <col min="15" max="15" width="81.88671875" style="336" customWidth="1"/>
    <col min="16" max="16" width="27.88671875" style="337" customWidth="1"/>
    <col min="17" max="17" width="15.6640625" style="338" customWidth="1"/>
    <col min="18" max="207" width="11.44140625" style="149"/>
  </cols>
  <sheetData>
    <row r="1" spans="1:21" ht="69" customHeight="1" thickBot="1">
      <c r="A1" s="186" t="s">
        <v>114</v>
      </c>
      <c r="B1" s="187"/>
      <c r="C1" s="188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314"/>
      <c r="P1" s="315"/>
      <c r="Q1" s="316"/>
      <c r="R1" s="16"/>
      <c r="S1" s="16"/>
      <c r="T1" s="16"/>
      <c r="U1" s="16"/>
    </row>
    <row r="2" spans="1:21" ht="45.75" customHeight="1">
      <c r="A2" s="297" t="s">
        <v>452</v>
      </c>
      <c r="B2" s="298" t="s">
        <v>67</v>
      </c>
      <c r="C2" s="299" t="s">
        <v>79</v>
      </c>
      <c r="D2" s="299">
        <v>2013</v>
      </c>
      <c r="E2" s="299">
        <v>2014</v>
      </c>
      <c r="F2" s="299">
        <v>2015</v>
      </c>
      <c r="G2" s="299">
        <v>2016</v>
      </c>
      <c r="H2" s="299">
        <v>2017</v>
      </c>
      <c r="I2" s="299">
        <v>2018</v>
      </c>
      <c r="J2" s="299">
        <v>2019</v>
      </c>
      <c r="K2" s="299">
        <v>2020</v>
      </c>
      <c r="L2" s="299">
        <v>2021</v>
      </c>
      <c r="M2" s="299">
        <v>2022</v>
      </c>
      <c r="N2" s="313" t="s">
        <v>453</v>
      </c>
      <c r="O2" s="317" t="s">
        <v>24</v>
      </c>
      <c r="P2" s="318" t="s">
        <v>450</v>
      </c>
      <c r="Q2" s="319" t="s">
        <v>451</v>
      </c>
      <c r="R2" s="16"/>
      <c r="S2" s="16"/>
      <c r="T2" s="16"/>
      <c r="U2" s="16"/>
    </row>
    <row r="3" spans="1:21" ht="40.5" customHeight="1">
      <c r="A3" s="172" t="str">
        <f>+'Erfassung Daten'!A6</f>
        <v>Boxenlaufstall, Fischgrät- und weitere Melktechniken</v>
      </c>
      <c r="B3" s="157">
        <v>38168</v>
      </c>
      <c r="C3" s="177" t="s">
        <v>68</v>
      </c>
      <c r="D3" s="156">
        <v>1897</v>
      </c>
      <c r="E3" s="156">
        <v>2171</v>
      </c>
      <c r="F3" s="156">
        <v>1346</v>
      </c>
      <c r="G3" s="156">
        <v>950</v>
      </c>
      <c r="H3" s="156">
        <v>1373</v>
      </c>
      <c r="I3" s="156">
        <v>1701</v>
      </c>
      <c r="J3" s="156">
        <v>1288</v>
      </c>
      <c r="K3" s="156">
        <v>1194</v>
      </c>
      <c r="L3" s="156">
        <v>1163</v>
      </c>
      <c r="M3" s="156">
        <v>1882</v>
      </c>
      <c r="N3" s="182">
        <f>AVERAGE(D3:M3)</f>
        <v>1496.5</v>
      </c>
      <c r="O3" s="320" t="s">
        <v>493</v>
      </c>
      <c r="P3" s="321">
        <f>+(N3-Q3)/Q3</f>
        <v>3.4280185223581387E-2</v>
      </c>
      <c r="Q3" s="322">
        <v>1446.9</v>
      </c>
      <c r="R3" s="16"/>
      <c r="S3" s="16"/>
      <c r="T3" s="16"/>
      <c r="U3" s="16"/>
    </row>
    <row r="4" spans="1:21" ht="40.5" customHeight="1">
      <c r="A4" s="172" t="str">
        <f>+'Erfassung Daten'!A7</f>
        <v>Boxenlaufstall, Melkroboter oder Melkkarussell</v>
      </c>
      <c r="B4" s="157">
        <v>38168</v>
      </c>
      <c r="C4" s="177" t="s">
        <v>68</v>
      </c>
      <c r="D4" s="156">
        <v>1897</v>
      </c>
      <c r="E4" s="156">
        <v>2171</v>
      </c>
      <c r="F4" s="156">
        <v>1346</v>
      </c>
      <c r="G4" s="156">
        <v>950</v>
      </c>
      <c r="H4" s="156">
        <v>1373</v>
      </c>
      <c r="I4" s="156">
        <v>1701</v>
      </c>
      <c r="J4" s="156">
        <v>1288</v>
      </c>
      <c r="K4" s="156">
        <v>1194</v>
      </c>
      <c r="L4" s="156">
        <v>1163</v>
      </c>
      <c r="M4" s="156">
        <v>1882</v>
      </c>
      <c r="N4" s="182">
        <f t="shared" ref="N4:N27" si="0">AVERAGE(D4:M4)</f>
        <v>1496.5</v>
      </c>
      <c r="O4" s="320" t="s">
        <v>493</v>
      </c>
      <c r="P4" s="323">
        <f t="shared" ref="P4:P27" si="1">+(N4-Q4)/Q4</f>
        <v>3.4280185223581387E-2</v>
      </c>
      <c r="Q4" s="322">
        <v>1446.9</v>
      </c>
      <c r="R4" s="16"/>
      <c r="S4" s="16"/>
      <c r="T4" s="16"/>
      <c r="U4" s="16"/>
    </row>
    <row r="5" spans="1:21" ht="40.5" customHeight="1">
      <c r="A5" s="172" t="str">
        <f>+'Erfassung Daten'!A8</f>
        <v>Tretmiststall, betonierte Lauffläche, Fischgrätenmelkstand</v>
      </c>
      <c r="B5" s="157">
        <v>38168</v>
      </c>
      <c r="C5" s="177" t="s">
        <v>68</v>
      </c>
      <c r="D5" s="156">
        <v>1897</v>
      </c>
      <c r="E5" s="156">
        <v>2171</v>
      </c>
      <c r="F5" s="156">
        <v>1346</v>
      </c>
      <c r="G5" s="156">
        <v>950</v>
      </c>
      <c r="H5" s="156">
        <v>1373</v>
      </c>
      <c r="I5" s="156">
        <v>1701</v>
      </c>
      <c r="J5" s="156">
        <v>1288</v>
      </c>
      <c r="K5" s="156">
        <v>1194</v>
      </c>
      <c r="L5" s="156">
        <v>1163</v>
      </c>
      <c r="M5" s="156">
        <v>1882</v>
      </c>
      <c r="N5" s="182">
        <f t="shared" si="0"/>
        <v>1496.5</v>
      </c>
      <c r="O5" s="320" t="s">
        <v>493</v>
      </c>
      <c r="P5" s="321">
        <f t="shared" si="1"/>
        <v>3.4280185223581387E-2</v>
      </c>
      <c r="Q5" s="322">
        <v>1446.9</v>
      </c>
      <c r="R5" s="16"/>
      <c r="S5" s="16"/>
      <c r="T5" s="16"/>
      <c r="U5" s="16"/>
    </row>
    <row r="6" spans="1:21" ht="40.5" customHeight="1">
      <c r="A6" s="172" t="str">
        <f>+'Erfassung Daten'!A9</f>
        <v>Kälbermaststall, automatische Tränke</v>
      </c>
      <c r="B6" s="157">
        <v>39263</v>
      </c>
      <c r="C6" s="177" t="s">
        <v>69</v>
      </c>
      <c r="D6" s="156">
        <v>97.5</v>
      </c>
      <c r="E6" s="156">
        <v>97.5</v>
      </c>
      <c r="F6" s="156">
        <v>97.5</v>
      </c>
      <c r="G6" s="156">
        <v>97.5</v>
      </c>
      <c r="H6" s="156">
        <v>97.5</v>
      </c>
      <c r="I6" s="156">
        <v>97.5</v>
      </c>
      <c r="J6" s="156">
        <v>97.5</v>
      </c>
      <c r="K6" s="156">
        <v>97.5</v>
      </c>
      <c r="L6" s="156">
        <v>51.23</v>
      </c>
      <c r="M6" s="156">
        <v>97.5</v>
      </c>
      <c r="N6" s="182">
        <f t="shared" si="0"/>
        <v>92.873000000000005</v>
      </c>
      <c r="O6" s="320" t="s">
        <v>494</v>
      </c>
      <c r="P6" s="321">
        <f t="shared" si="1"/>
        <v>8.1412893631340709E-3</v>
      </c>
      <c r="Q6" s="322">
        <v>92.123000000000005</v>
      </c>
      <c r="R6" s="16"/>
      <c r="S6" s="16"/>
      <c r="T6" s="16"/>
      <c r="U6" s="16"/>
    </row>
    <row r="7" spans="1:21" ht="40.5" customHeight="1">
      <c r="A7" s="172" t="str">
        <f>+'Erfassung Daten'!A10</f>
        <v>Fresseraufzuchtstall, Tränkeautomat</v>
      </c>
      <c r="B7" s="157">
        <v>39263</v>
      </c>
      <c r="C7" s="177" t="s">
        <v>69</v>
      </c>
      <c r="D7" s="156">
        <v>118</v>
      </c>
      <c r="E7" s="158">
        <v>103</v>
      </c>
      <c r="F7" s="158">
        <v>100</v>
      </c>
      <c r="G7" s="158">
        <v>112</v>
      </c>
      <c r="H7" s="158">
        <v>124.5</v>
      </c>
      <c r="I7" s="158">
        <v>133</v>
      </c>
      <c r="J7" s="158">
        <v>122</v>
      </c>
      <c r="K7" s="158">
        <v>119</v>
      </c>
      <c r="L7" s="158">
        <v>105.34</v>
      </c>
      <c r="M7" s="158">
        <v>116</v>
      </c>
      <c r="N7" s="182">
        <f t="shared" si="0"/>
        <v>115.28399999999999</v>
      </c>
      <c r="O7" s="320" t="s">
        <v>495</v>
      </c>
      <c r="P7" s="321">
        <f t="shared" si="1"/>
        <v>8.7501312519687804E-3</v>
      </c>
      <c r="Q7" s="322">
        <v>114.28399999999999</v>
      </c>
      <c r="R7" s="16"/>
      <c r="S7" s="16"/>
      <c r="T7" s="16"/>
      <c r="U7" s="16"/>
    </row>
    <row r="8" spans="1:21" ht="40.5" customHeight="1">
      <c r="A8" s="172" t="str">
        <f>+'Erfassung Daten'!A11</f>
        <v>Jungviehaufzuchtstall mit Kälberaufzucht ca. 24 Mon.</v>
      </c>
      <c r="B8" s="159">
        <v>38168</v>
      </c>
      <c r="C8" s="177" t="s">
        <v>70</v>
      </c>
      <c r="D8" s="156">
        <v>734</v>
      </c>
      <c r="E8" s="158">
        <v>455</v>
      </c>
      <c r="F8" s="158">
        <v>479.5</v>
      </c>
      <c r="G8" s="158">
        <v>196.5</v>
      </c>
      <c r="H8" s="158">
        <v>116</v>
      </c>
      <c r="I8" s="158">
        <v>296.7</v>
      </c>
      <c r="J8" s="158">
        <v>259.5</v>
      </c>
      <c r="K8" s="158">
        <v>242</v>
      </c>
      <c r="L8" s="158">
        <v>219.5</v>
      </c>
      <c r="M8" s="158">
        <v>215</v>
      </c>
      <c r="N8" s="182">
        <f t="shared" si="0"/>
        <v>321.37</v>
      </c>
      <c r="O8" s="320" t="s">
        <v>496</v>
      </c>
      <c r="P8" s="321">
        <f t="shared" si="1"/>
        <v>-0.14590586546894513</v>
      </c>
      <c r="Q8" s="322">
        <v>376.27</v>
      </c>
      <c r="R8" s="16"/>
      <c r="S8" s="16"/>
      <c r="T8" s="16"/>
      <c r="U8" s="16"/>
    </row>
    <row r="9" spans="1:21" ht="40.5" customHeight="1">
      <c r="A9" s="172" t="str">
        <f>+'Erfassung Daten'!A12</f>
        <v>Bullenmast mit Fresser ca. 12 Monate Mast</v>
      </c>
      <c r="B9" s="159">
        <v>39263</v>
      </c>
      <c r="C9" s="177" t="s">
        <v>71</v>
      </c>
      <c r="D9" s="156">
        <v>335.02</v>
      </c>
      <c r="E9" s="158">
        <v>269.33999999999997</v>
      </c>
      <c r="F9" s="158">
        <v>323.98</v>
      </c>
      <c r="G9" s="158">
        <v>309.33</v>
      </c>
      <c r="H9" s="158">
        <v>304.06</v>
      </c>
      <c r="I9" s="158">
        <v>450.23</v>
      </c>
      <c r="J9" s="158">
        <v>265.27999999999997</v>
      </c>
      <c r="K9" s="158">
        <v>129.68</v>
      </c>
      <c r="L9" s="158">
        <v>279.19</v>
      </c>
      <c r="M9" s="158">
        <v>476.35</v>
      </c>
      <c r="N9" s="182">
        <f t="shared" si="0"/>
        <v>314.24599999999998</v>
      </c>
      <c r="O9" s="320" t="s">
        <v>497</v>
      </c>
      <c r="P9" s="321">
        <f t="shared" si="1"/>
        <v>2.859144187934318E-2</v>
      </c>
      <c r="Q9" s="322">
        <v>305.51099999999997</v>
      </c>
      <c r="R9" s="16"/>
      <c r="S9" s="16"/>
      <c r="T9" s="16"/>
      <c r="U9" s="16"/>
    </row>
    <row r="10" spans="1:21" ht="40.5" customHeight="1">
      <c r="A10" s="172" t="str">
        <f>+'Erfassung Daten'!A13</f>
        <v>Bullenmast mit Kälberaufzucht ca. 18 Monate Mast</v>
      </c>
      <c r="B10" s="159">
        <v>38168</v>
      </c>
      <c r="C10" s="177" t="s">
        <v>71</v>
      </c>
      <c r="D10" s="156">
        <v>495.05</v>
      </c>
      <c r="E10" s="158">
        <v>362.11</v>
      </c>
      <c r="F10" s="158">
        <v>374.55</v>
      </c>
      <c r="G10" s="158">
        <v>370.88</v>
      </c>
      <c r="H10" s="158">
        <v>399.36</v>
      </c>
      <c r="I10" s="158">
        <v>527.89</v>
      </c>
      <c r="J10" s="158">
        <v>358.56</v>
      </c>
      <c r="K10" s="158">
        <v>164.84</v>
      </c>
      <c r="L10" s="158">
        <v>281.2</v>
      </c>
      <c r="M10" s="158">
        <v>627.54999999999995</v>
      </c>
      <c r="N10" s="182">
        <f t="shared" si="0"/>
        <v>396.19899999999996</v>
      </c>
      <c r="O10" s="320" t="s">
        <v>497</v>
      </c>
      <c r="P10" s="321">
        <f t="shared" si="1"/>
        <v>1.8129535596077564E-2</v>
      </c>
      <c r="Q10" s="322">
        <v>389.14399999999995</v>
      </c>
      <c r="R10" s="16"/>
      <c r="S10" s="16"/>
      <c r="T10" s="16"/>
      <c r="U10" s="16"/>
    </row>
    <row r="11" spans="1:21" ht="40.5" customHeight="1">
      <c r="A11" s="173" t="str">
        <f>+'Erfassung Daten'!A14</f>
        <v>Mutterkuhhaltung mit Verkauf Absetzer</v>
      </c>
      <c r="B11" s="160">
        <v>39263</v>
      </c>
      <c r="C11" s="178" t="s">
        <v>68</v>
      </c>
      <c r="D11" s="161">
        <v>11</v>
      </c>
      <c r="E11" s="162">
        <v>-13</v>
      </c>
      <c r="F11" s="162">
        <v>45</v>
      </c>
      <c r="G11" s="162">
        <v>92</v>
      </c>
      <c r="H11" s="162">
        <v>75</v>
      </c>
      <c r="I11" s="162">
        <v>94</v>
      </c>
      <c r="J11" s="162">
        <v>-24</v>
      </c>
      <c r="K11" s="158">
        <v>-59</v>
      </c>
      <c r="L11" s="158">
        <v>-22</v>
      </c>
      <c r="M11" s="158">
        <v>-70</v>
      </c>
      <c r="N11" s="183">
        <f t="shared" si="0"/>
        <v>12.9</v>
      </c>
      <c r="O11" s="324" t="s">
        <v>498</v>
      </c>
      <c r="P11" s="325">
        <f>+((8.5)/10.6)</f>
        <v>0.80188679245283023</v>
      </c>
      <c r="Q11" s="326">
        <v>13.9</v>
      </c>
      <c r="R11" s="16"/>
      <c r="S11" s="16"/>
      <c r="T11" s="16"/>
      <c r="U11" s="16"/>
    </row>
    <row r="12" spans="1:21" ht="40.5" customHeight="1">
      <c r="A12" s="171" t="str">
        <f>+'Erfassung Daten'!A15</f>
        <v>Sauenstall mit Ferkelverkauf ab 25 kg</v>
      </c>
      <c r="B12" s="159">
        <v>38168</v>
      </c>
      <c r="C12" s="176" t="s">
        <v>72</v>
      </c>
      <c r="D12" s="156">
        <v>631.11</v>
      </c>
      <c r="E12" s="158">
        <v>732.48</v>
      </c>
      <c r="F12" s="163">
        <v>317.43</v>
      </c>
      <c r="G12" s="163">
        <v>290.64</v>
      </c>
      <c r="H12" s="158">
        <v>854.29</v>
      </c>
      <c r="I12" s="163">
        <v>635.29999999999995</v>
      </c>
      <c r="J12" s="158">
        <v>350.38</v>
      </c>
      <c r="K12" s="163">
        <v>985</v>
      </c>
      <c r="L12" s="163">
        <v>176.94</v>
      </c>
      <c r="M12" s="163">
        <v>-181.34</v>
      </c>
      <c r="N12" s="181">
        <f t="shared" si="0"/>
        <v>479.22299999999996</v>
      </c>
      <c r="O12" s="320" t="s">
        <v>499</v>
      </c>
      <c r="P12" s="321">
        <f t="shared" si="1"/>
        <v>-0.13865358173141742</v>
      </c>
      <c r="Q12" s="327">
        <v>556.36500000000001</v>
      </c>
      <c r="R12" s="16"/>
      <c r="S12" s="16"/>
      <c r="T12" s="16"/>
      <c r="U12" s="16"/>
    </row>
    <row r="13" spans="1:21" ht="40.5" customHeight="1">
      <c r="A13" s="172" t="str">
        <f>+'Erfassung Daten'!A16</f>
        <v>Sauenstall mit Ferkelverkauf ab 7 bis 10 kg</v>
      </c>
      <c r="B13" s="159">
        <v>38168</v>
      </c>
      <c r="C13" s="177" t="s">
        <v>72</v>
      </c>
      <c r="D13" s="156">
        <v>449.37</v>
      </c>
      <c r="E13" s="158">
        <v>500.06</v>
      </c>
      <c r="F13" s="158">
        <v>228.28</v>
      </c>
      <c r="G13" s="158">
        <v>238.22</v>
      </c>
      <c r="H13" s="158">
        <v>423.49</v>
      </c>
      <c r="I13" s="158">
        <v>233.75</v>
      </c>
      <c r="J13" s="158">
        <v>83.47</v>
      </c>
      <c r="K13" s="158">
        <v>624.42999999999995</v>
      </c>
      <c r="L13" s="158">
        <v>-50.33</v>
      </c>
      <c r="M13" s="158">
        <v>-223.64</v>
      </c>
      <c r="N13" s="182">
        <f t="shared" si="0"/>
        <v>250.70999999999998</v>
      </c>
      <c r="O13" s="320" t="s">
        <v>499</v>
      </c>
      <c r="P13" s="321">
        <f t="shared" si="1"/>
        <v>-0.19929098399923345</v>
      </c>
      <c r="Q13" s="322">
        <v>313.10999999999996</v>
      </c>
      <c r="R13" s="16"/>
      <c r="S13" s="16"/>
      <c r="T13" s="16"/>
      <c r="U13" s="16"/>
    </row>
    <row r="14" spans="1:21" ht="40.5" customHeight="1">
      <c r="A14" s="172" t="str">
        <f>+'Erfassung Daten'!A17</f>
        <v xml:space="preserve">Ferkelaufzuchtstall mit Verkauf ab 25 kg </v>
      </c>
      <c r="B14" s="159">
        <v>38168</v>
      </c>
      <c r="C14" s="177" t="s">
        <v>73</v>
      </c>
      <c r="D14" s="156">
        <v>3.79</v>
      </c>
      <c r="E14" s="158">
        <v>6.64</v>
      </c>
      <c r="F14" s="158">
        <v>2.23</v>
      </c>
      <c r="G14" s="158">
        <v>0.33</v>
      </c>
      <c r="H14" s="158">
        <v>13.12</v>
      </c>
      <c r="I14" s="158">
        <v>12.19</v>
      </c>
      <c r="J14" s="158">
        <v>8.18</v>
      </c>
      <c r="K14" s="158">
        <v>21.06</v>
      </c>
      <c r="L14" s="158">
        <v>4.72</v>
      </c>
      <c r="M14" s="158">
        <v>-2.4500000000000002</v>
      </c>
      <c r="N14" s="182">
        <f t="shared" si="0"/>
        <v>6.980999999999999</v>
      </c>
      <c r="O14" s="320" t="s">
        <v>500</v>
      </c>
      <c r="P14" s="321">
        <f t="shared" si="1"/>
        <v>-9.2787524366471696E-2</v>
      </c>
      <c r="Q14" s="322">
        <v>7.6949999999999985</v>
      </c>
      <c r="R14" s="16"/>
      <c r="S14" s="16"/>
      <c r="T14" s="16"/>
      <c r="U14" s="16"/>
    </row>
    <row r="15" spans="1:21" ht="40.5" customHeight="1">
      <c r="A15" s="172" t="str">
        <f>+'Erfassung Daten'!A18</f>
        <v>Schweinemaststall, konventioneller Stall</v>
      </c>
      <c r="B15" s="159">
        <v>38168</v>
      </c>
      <c r="C15" s="177" t="s">
        <v>74</v>
      </c>
      <c r="D15" s="156">
        <v>21.39</v>
      </c>
      <c r="E15" s="158">
        <v>24.54</v>
      </c>
      <c r="F15" s="158">
        <v>20.079999999999998</v>
      </c>
      <c r="G15" s="158">
        <v>21.63</v>
      </c>
      <c r="H15" s="158">
        <v>30.67</v>
      </c>
      <c r="I15" s="158">
        <v>18.04</v>
      </c>
      <c r="J15" s="158">
        <v>21.54</v>
      </c>
      <c r="K15" s="158">
        <v>33.4</v>
      </c>
      <c r="L15" s="158">
        <v>5.17</v>
      </c>
      <c r="M15" s="158">
        <v>5.05</v>
      </c>
      <c r="N15" s="182">
        <f t="shared" si="0"/>
        <v>20.151</v>
      </c>
      <c r="O15" s="320" t="s">
        <v>500</v>
      </c>
      <c r="P15" s="321">
        <f t="shared" si="1"/>
        <v>-0.10060254407498317</v>
      </c>
      <c r="Q15" s="322">
        <v>22.404999999999998</v>
      </c>
      <c r="R15" s="16"/>
      <c r="S15" s="16"/>
      <c r="T15" s="16"/>
      <c r="U15" s="16"/>
    </row>
    <row r="16" spans="1:21" ht="40.5" customHeight="1">
      <c r="A16" s="173" t="str">
        <f>+'Erfassung Daten'!A19</f>
        <v>Schweinemaststall, Außenklimastall</v>
      </c>
      <c r="B16" s="159">
        <v>38168</v>
      </c>
      <c r="C16" s="179" t="s">
        <v>74</v>
      </c>
      <c r="D16" s="161">
        <v>14.98</v>
      </c>
      <c r="E16" s="162">
        <v>20.38</v>
      </c>
      <c r="F16" s="162">
        <v>16.239999999999998</v>
      </c>
      <c r="G16" s="162">
        <v>17.399999999999999</v>
      </c>
      <c r="H16" s="162">
        <v>26.63</v>
      </c>
      <c r="I16" s="162">
        <v>13.55</v>
      </c>
      <c r="J16" s="162">
        <v>16.71</v>
      </c>
      <c r="K16" s="158">
        <v>32.44</v>
      </c>
      <c r="L16" s="158">
        <v>3.35</v>
      </c>
      <c r="M16" s="158">
        <v>-0.09</v>
      </c>
      <c r="N16" s="183">
        <f t="shared" si="0"/>
        <v>16.158999999999999</v>
      </c>
      <c r="O16" s="324" t="s">
        <v>500</v>
      </c>
      <c r="P16" s="321">
        <f t="shared" si="1"/>
        <v>-0.12246117084826758</v>
      </c>
      <c r="Q16" s="326">
        <v>18.413999999999998</v>
      </c>
      <c r="R16" s="16"/>
      <c r="S16" s="16"/>
      <c r="T16" s="16"/>
      <c r="U16" s="16"/>
    </row>
    <row r="17" spans="1:21" ht="40.5" customHeight="1">
      <c r="A17" s="171" t="str">
        <f>+'Erfassung Daten'!A20</f>
        <v>Hähnchenmaststall</v>
      </c>
      <c r="B17" s="164">
        <v>38352</v>
      </c>
      <c r="C17" s="177" t="s">
        <v>77</v>
      </c>
      <c r="D17" s="156">
        <v>0.23400000000000001</v>
      </c>
      <c r="E17" s="158">
        <v>0.36</v>
      </c>
      <c r="F17" s="163">
        <v>0.29899999999999999</v>
      </c>
      <c r="G17" s="158">
        <v>0.27</v>
      </c>
      <c r="H17" s="158">
        <v>0.30099999999999999</v>
      </c>
      <c r="I17" s="163">
        <v>0.29899999999999999</v>
      </c>
      <c r="J17" s="158">
        <v>0.38</v>
      </c>
      <c r="K17" s="163">
        <v>0.38</v>
      </c>
      <c r="L17" s="163">
        <v>0.24</v>
      </c>
      <c r="M17" s="163">
        <v>0.11</v>
      </c>
      <c r="N17" s="181">
        <f>ROUND(+AVERAGE(D17:M17),2)</f>
        <v>0.28999999999999998</v>
      </c>
      <c r="O17" s="320" t="s">
        <v>501</v>
      </c>
      <c r="P17" s="328">
        <f t="shared" si="1"/>
        <v>-3.3333333333333368E-2</v>
      </c>
      <c r="Q17" s="327">
        <v>0.3</v>
      </c>
      <c r="R17" s="16"/>
      <c r="S17" s="16"/>
      <c r="T17" s="16"/>
      <c r="U17" s="16"/>
    </row>
    <row r="18" spans="1:21" ht="40.5" customHeight="1">
      <c r="A18" s="172" t="str">
        <f>+'Erfassung Daten'!A21</f>
        <v>Putenmaststall (50% Hähne, 50% Hennen)</v>
      </c>
      <c r="B18" s="165">
        <v>38352</v>
      </c>
      <c r="C18" s="177" t="s">
        <v>75</v>
      </c>
      <c r="D18" s="156">
        <v>1.82</v>
      </c>
      <c r="E18" s="158">
        <v>3.86</v>
      </c>
      <c r="F18" s="158">
        <v>4.38</v>
      </c>
      <c r="G18" s="158">
        <v>3.97</v>
      </c>
      <c r="H18" s="158">
        <v>1.96</v>
      </c>
      <c r="I18" s="158">
        <v>1.2</v>
      </c>
      <c r="J18" s="158">
        <v>0.55000000000000004</v>
      </c>
      <c r="K18" s="158">
        <v>0.85</v>
      </c>
      <c r="L18" s="158">
        <v>-1.05</v>
      </c>
      <c r="M18" s="158">
        <v>-2.08</v>
      </c>
      <c r="N18" s="182">
        <f t="shared" si="0"/>
        <v>1.5459999999999998</v>
      </c>
      <c r="O18" s="320" t="s">
        <v>497</v>
      </c>
      <c r="P18" s="321">
        <f t="shared" si="1"/>
        <v>-0.26868495742667931</v>
      </c>
      <c r="Q18" s="322">
        <v>2.1139999999999999</v>
      </c>
      <c r="R18" s="16"/>
      <c r="S18" s="16"/>
      <c r="T18" s="16"/>
      <c r="U18" s="16"/>
    </row>
    <row r="19" spans="1:21" ht="40.5" customHeight="1">
      <c r="A19" s="172" t="str">
        <f>+'Erfassung Daten'!A22</f>
        <v>Entenmast, Flugenten (50% Erpel/ Enten) Langmast</v>
      </c>
      <c r="B19" s="165">
        <v>39447</v>
      </c>
      <c r="C19" s="177" t="s">
        <v>76</v>
      </c>
      <c r="D19" s="156">
        <v>1.67</v>
      </c>
      <c r="E19" s="158"/>
      <c r="F19" s="158"/>
      <c r="G19" s="158"/>
      <c r="H19" s="158"/>
      <c r="I19" s="158"/>
      <c r="J19" s="158"/>
      <c r="K19" s="158"/>
      <c r="L19" s="158"/>
      <c r="M19" s="158"/>
      <c r="N19" s="182">
        <f t="shared" si="0"/>
        <v>1.67</v>
      </c>
      <c r="O19" s="320" t="s">
        <v>134</v>
      </c>
      <c r="P19" s="321">
        <f t="shared" si="1"/>
        <v>0</v>
      </c>
      <c r="Q19" s="322">
        <v>1.67</v>
      </c>
      <c r="R19" s="16"/>
      <c r="S19" s="16"/>
      <c r="T19" s="16"/>
      <c r="U19" s="16"/>
    </row>
    <row r="20" spans="1:21" ht="40.5" customHeight="1">
      <c r="A20" s="172" t="str">
        <f>+'Erfassung Daten'!A23</f>
        <v>Entenmaststall, Pekingenten</v>
      </c>
      <c r="B20" s="165">
        <v>39447</v>
      </c>
      <c r="C20" s="177" t="s">
        <v>76</v>
      </c>
      <c r="D20" s="156">
        <v>0.55000000000000004</v>
      </c>
      <c r="E20" s="158">
        <v>0.55000000000000004</v>
      </c>
      <c r="F20" s="158">
        <v>1.1299999999999999</v>
      </c>
      <c r="G20" s="158">
        <v>1.6</v>
      </c>
      <c r="H20" s="158">
        <v>1.65</v>
      </c>
      <c r="I20" s="158">
        <v>1.41</v>
      </c>
      <c r="J20" s="158">
        <v>1.35</v>
      </c>
      <c r="K20" s="158">
        <v>1.62</v>
      </c>
      <c r="L20" s="158">
        <v>-0.96</v>
      </c>
      <c r="M20" s="158">
        <v>-1.7</v>
      </c>
      <c r="N20" s="182">
        <f t="shared" si="0"/>
        <v>0.71999999999999986</v>
      </c>
      <c r="O20" s="320" t="s">
        <v>502</v>
      </c>
      <c r="P20" s="321">
        <f t="shared" si="1"/>
        <v>-0.23809523809523819</v>
      </c>
      <c r="Q20" s="322">
        <v>0.94499999999999995</v>
      </c>
      <c r="R20" s="16"/>
      <c r="S20" s="16"/>
      <c r="T20" s="16"/>
      <c r="U20" s="16"/>
    </row>
    <row r="21" spans="1:21" ht="40.5" customHeight="1">
      <c r="A21" s="172" t="str">
        <f>+'Erfassung Daten'!A24</f>
        <v>Legehennenstall, Freilandeierproduktion</v>
      </c>
      <c r="B21" s="165">
        <v>39447</v>
      </c>
      <c r="C21" s="177" t="s">
        <v>78</v>
      </c>
      <c r="D21" s="156">
        <f>8.8/0.78</f>
        <v>11.282051282051283</v>
      </c>
      <c r="E21" s="158">
        <f>8.66/0.78</f>
        <v>11.102564102564102</v>
      </c>
      <c r="F21" s="158">
        <f>9.07/0.78</f>
        <v>11.628205128205128</v>
      </c>
      <c r="G21" s="158">
        <f>9.74/0.78</f>
        <v>12.487179487179487</v>
      </c>
      <c r="H21" s="158">
        <f>9.33/0.78</f>
        <v>11.961538461538462</v>
      </c>
      <c r="I21" s="158">
        <f>12.36/0.78</f>
        <v>15.846153846153845</v>
      </c>
      <c r="J21" s="158">
        <f>11.79/0.78</f>
        <v>15.115384615384613</v>
      </c>
      <c r="K21" s="158">
        <v>14.25</v>
      </c>
      <c r="L21" s="158">
        <v>15.72</v>
      </c>
      <c r="M21" s="158">
        <v>4.3600000000000003</v>
      </c>
      <c r="N21" s="182">
        <f t="shared" si="0"/>
        <v>12.375307692307691</v>
      </c>
      <c r="O21" s="320" t="s">
        <v>497</v>
      </c>
      <c r="P21" s="321">
        <f t="shared" si="1"/>
        <v>-2.9943622056739838E-2</v>
      </c>
      <c r="Q21" s="322">
        <v>12.757307692307693</v>
      </c>
      <c r="R21" s="16"/>
      <c r="S21" s="16"/>
      <c r="T21" s="16"/>
      <c r="U21" s="16"/>
    </row>
    <row r="22" spans="1:21" ht="40.5" customHeight="1">
      <c r="A22" s="172" t="str">
        <f>+'Erfassung Daten'!A25</f>
        <v>Legehennenstall, Bio-Eierproduktion</v>
      </c>
      <c r="B22" s="165">
        <v>39447</v>
      </c>
      <c r="C22" s="177" t="s">
        <v>78</v>
      </c>
      <c r="D22" s="156">
        <f>15.36/0.8</f>
        <v>19.2</v>
      </c>
      <c r="E22" s="158">
        <f>15.48/0.8</f>
        <v>19.349999999999998</v>
      </c>
      <c r="F22" s="158">
        <f>16.68/0.8</f>
        <v>20.849999999999998</v>
      </c>
      <c r="G22" s="158">
        <f>16.22/0.8</f>
        <v>20.274999999999999</v>
      </c>
      <c r="H22" s="158">
        <f>16.17/0.8</f>
        <v>20.212500000000002</v>
      </c>
      <c r="I22" s="158">
        <f>21.55/0.8</f>
        <v>26.9375</v>
      </c>
      <c r="J22" s="158">
        <f>18.09/0.8</f>
        <v>22.612499999999997</v>
      </c>
      <c r="K22" s="158">
        <v>18.239999999999998</v>
      </c>
      <c r="L22" s="158">
        <v>18.48</v>
      </c>
      <c r="M22" s="158">
        <v>6.9</v>
      </c>
      <c r="N22" s="182">
        <f>AVERAGE(D22:M22)</f>
        <v>19.30575</v>
      </c>
      <c r="O22" s="320" t="s">
        <v>497</v>
      </c>
      <c r="P22" s="321">
        <f t="shared" si="1"/>
        <v>-3.5038174616066932E-2</v>
      </c>
      <c r="Q22" s="322">
        <v>20.006749999999997</v>
      </c>
      <c r="R22" s="16"/>
      <c r="S22" s="16"/>
      <c r="T22" s="16"/>
      <c r="U22" s="16"/>
    </row>
    <row r="23" spans="1:21" ht="40.5" customHeight="1">
      <c r="A23" s="173" t="str">
        <f>+'Erfassung Daten'!A26</f>
        <v>Legehennenstall, Bruteierproduktion</v>
      </c>
      <c r="B23" s="166">
        <v>38352</v>
      </c>
      <c r="C23" s="179" t="s">
        <v>78</v>
      </c>
      <c r="D23" s="161">
        <f>16/1.21</f>
        <v>13.223140495867769</v>
      </c>
      <c r="E23" s="162">
        <f>8.51/1.21</f>
        <v>7.0330578512396693</v>
      </c>
      <c r="F23" s="162">
        <f>11.52/1.21</f>
        <v>9.5206611570247937</v>
      </c>
      <c r="G23" s="162"/>
      <c r="H23" s="162"/>
      <c r="I23" s="162"/>
      <c r="J23" s="167"/>
      <c r="K23" s="168"/>
      <c r="L23" s="168"/>
      <c r="M23" s="168"/>
      <c r="N23" s="183">
        <f t="shared" si="0"/>
        <v>9.9256198347107443</v>
      </c>
      <c r="O23" s="324" t="s">
        <v>503</v>
      </c>
      <c r="P23" s="321">
        <f t="shared" si="1"/>
        <v>-3.5103047539854146E-2</v>
      </c>
      <c r="Q23" s="326">
        <v>10.286714876033058</v>
      </c>
      <c r="R23" s="16"/>
      <c r="S23" s="16"/>
      <c r="T23" s="16"/>
      <c r="U23" s="16"/>
    </row>
    <row r="24" spans="1:21" ht="40.5" customHeight="1">
      <c r="A24" s="171" t="str">
        <f>+'Erfassung Daten'!A31</f>
        <v xml:space="preserve">Biogasanlage </v>
      </c>
      <c r="B24" s="164">
        <v>39447</v>
      </c>
      <c r="C24" s="176" t="s">
        <v>92</v>
      </c>
      <c r="D24" s="156">
        <v>774.67</v>
      </c>
      <c r="E24" s="158">
        <v>406.94</v>
      </c>
      <c r="F24" s="163">
        <v>396.84</v>
      </c>
      <c r="G24" s="158">
        <v>334.41</v>
      </c>
      <c r="H24" s="158">
        <v>334.41</v>
      </c>
      <c r="I24" s="163">
        <v>334.41</v>
      </c>
      <c r="J24" s="158">
        <v>334.41</v>
      </c>
      <c r="K24" s="163">
        <v>334.41</v>
      </c>
      <c r="L24" s="163">
        <v>334.41</v>
      </c>
      <c r="M24" s="163">
        <v>334.41</v>
      </c>
      <c r="N24" s="181">
        <f t="shared" si="0"/>
        <v>391.9319999999999</v>
      </c>
      <c r="O24" s="329" t="s">
        <v>132</v>
      </c>
      <c r="P24" s="328">
        <f t="shared" si="1"/>
        <v>-7.2394206191423088E-2</v>
      </c>
      <c r="Q24" s="327">
        <v>422.52</v>
      </c>
      <c r="R24" s="16"/>
      <c r="S24" s="16"/>
      <c r="T24" s="16"/>
      <c r="U24" s="16"/>
    </row>
    <row r="25" spans="1:21" ht="59.25" customHeight="1">
      <c r="A25" s="173" t="str">
        <f>+'Erfassung Daten'!A33</f>
        <v>Photovoltaikanlage</v>
      </c>
      <c r="B25" s="166">
        <v>39447</v>
      </c>
      <c r="C25" s="179" t="s">
        <v>93</v>
      </c>
      <c r="D25" s="162">
        <v>109.03</v>
      </c>
      <c r="E25" s="162">
        <v>107.33</v>
      </c>
      <c r="F25" s="162">
        <v>104.75</v>
      </c>
      <c r="G25" s="162">
        <v>103.56</v>
      </c>
      <c r="H25" s="162">
        <v>103.56</v>
      </c>
      <c r="I25" s="162">
        <v>103.56</v>
      </c>
      <c r="J25" s="162">
        <v>103.56</v>
      </c>
      <c r="K25" s="162">
        <v>103.56</v>
      </c>
      <c r="L25" s="162">
        <v>103.56</v>
      </c>
      <c r="M25" s="162">
        <v>103.56</v>
      </c>
      <c r="N25" s="183">
        <f t="shared" si="0"/>
        <v>104.60299999999998</v>
      </c>
      <c r="O25" s="324" t="s">
        <v>135</v>
      </c>
      <c r="P25" s="325">
        <f t="shared" si="1"/>
        <v>-3.6583007137923049E-2</v>
      </c>
      <c r="Q25" s="326">
        <v>108.57499999999997</v>
      </c>
      <c r="R25" s="16"/>
      <c r="S25" s="16"/>
      <c r="T25" s="16"/>
      <c r="U25" s="16"/>
    </row>
    <row r="26" spans="1:21" ht="72.75" customHeight="1">
      <c r="A26" s="174" t="str">
        <f>+'Erfassung Daten'!A53</f>
        <v>Legehennenstall, Boden- u. Volierenhaltung</v>
      </c>
      <c r="B26" s="169">
        <v>38352</v>
      </c>
      <c r="C26" s="180" t="s">
        <v>78</v>
      </c>
      <c r="D26" s="170">
        <f>6.78/0.78</f>
        <v>8.6923076923076916</v>
      </c>
      <c r="E26" s="170">
        <f>4.25/0.78</f>
        <v>5.4487179487179489</v>
      </c>
      <c r="F26" s="170">
        <f>5.9/0.78</f>
        <v>7.5641025641025639</v>
      </c>
      <c r="G26" s="170">
        <f>5.79/0.78</f>
        <v>7.4230769230769225</v>
      </c>
      <c r="H26" s="170">
        <f>6.21/0.78</f>
        <v>7.9615384615384608</v>
      </c>
      <c r="I26" s="170">
        <f>8.02/0.78</f>
        <v>10.282051282051281</v>
      </c>
      <c r="J26" s="170">
        <f>7.66/0.78</f>
        <v>9.8205128205128212</v>
      </c>
      <c r="K26" s="170">
        <v>8.9499999999999993</v>
      </c>
      <c r="L26" s="170">
        <v>6.68</v>
      </c>
      <c r="M26" s="170">
        <v>2.78</v>
      </c>
      <c r="N26" s="184">
        <f t="shared" si="0"/>
        <v>7.5602307692307704</v>
      </c>
      <c r="O26" s="330" t="s">
        <v>501</v>
      </c>
      <c r="P26" s="331">
        <f t="shared" si="1"/>
        <v>-5.2511327484815976E-2</v>
      </c>
      <c r="Q26" s="332">
        <v>7.9792307692307674</v>
      </c>
      <c r="R26" s="16"/>
      <c r="S26" s="16"/>
      <c r="T26" s="16"/>
      <c r="U26" s="16"/>
    </row>
    <row r="27" spans="1:21" ht="73.5" customHeight="1">
      <c r="A27" s="173" t="str">
        <f>+'Erfassung Daten'!A54</f>
        <v>Windkraftanlage</v>
      </c>
      <c r="B27" s="166">
        <v>39447</v>
      </c>
      <c r="C27" s="179" t="s">
        <v>140</v>
      </c>
      <c r="D27" s="161">
        <v>214.18</v>
      </c>
      <c r="E27" s="162">
        <v>221.28</v>
      </c>
      <c r="F27" s="162">
        <v>216.24</v>
      </c>
      <c r="G27" s="162">
        <v>190.8</v>
      </c>
      <c r="H27" s="162">
        <v>190.8</v>
      </c>
      <c r="I27" s="170">
        <v>190.8</v>
      </c>
      <c r="J27" s="162">
        <v>190.8</v>
      </c>
      <c r="K27" s="162">
        <v>190.8</v>
      </c>
      <c r="L27" s="162">
        <v>190.8</v>
      </c>
      <c r="M27" s="162">
        <v>190.8</v>
      </c>
      <c r="N27" s="185">
        <f t="shared" si="0"/>
        <v>198.72999999999996</v>
      </c>
      <c r="O27" s="324" t="s">
        <v>80</v>
      </c>
      <c r="P27" s="325">
        <f t="shared" si="1"/>
        <v>-4.6080641121964234E-3</v>
      </c>
      <c r="Q27" s="333">
        <v>199.64999999999998</v>
      </c>
      <c r="R27" s="16"/>
      <c r="S27" s="16"/>
      <c r="T27" s="16"/>
      <c r="U27" s="16"/>
    </row>
    <row r="28" spans="1:21">
      <c r="A28" s="16"/>
      <c r="B28" s="16"/>
      <c r="C28" s="154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84"/>
      <c r="P28" s="334"/>
      <c r="Q28" s="335"/>
      <c r="R28" s="16"/>
      <c r="S28" s="16"/>
      <c r="T28" s="16"/>
      <c r="U28" s="16"/>
    </row>
    <row r="29" spans="1:21">
      <c r="A29" s="16"/>
      <c r="B29" s="16"/>
      <c r="C29" s="154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84"/>
      <c r="P29" s="334"/>
      <c r="Q29" s="335"/>
      <c r="R29" s="16"/>
      <c r="S29" s="16"/>
      <c r="T29" s="16"/>
      <c r="U29" s="16"/>
    </row>
    <row r="30" spans="1:21">
      <c r="A30" s="16"/>
      <c r="B30" s="16"/>
      <c r="C30" s="154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84"/>
      <c r="P30" s="334"/>
      <c r="Q30" s="335"/>
      <c r="R30" s="16"/>
      <c r="S30" s="16"/>
      <c r="T30" s="16"/>
      <c r="U30" s="16"/>
    </row>
    <row r="31" spans="1:21">
      <c r="A31" s="16"/>
      <c r="B31" s="16"/>
      <c r="C31" s="154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84"/>
      <c r="P31" s="334"/>
      <c r="Q31" s="335"/>
      <c r="R31" s="16"/>
      <c r="S31" s="16"/>
      <c r="T31" s="16"/>
      <c r="U31" s="16"/>
    </row>
    <row r="32" spans="1:21">
      <c r="A32" s="16"/>
      <c r="B32" s="16"/>
      <c r="C32" s="154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84"/>
      <c r="P32" s="334"/>
      <c r="Q32" s="335"/>
      <c r="R32" s="16"/>
      <c r="S32" s="16"/>
      <c r="T32" s="16"/>
      <c r="U32" s="16"/>
    </row>
    <row r="33" spans="1:21">
      <c r="A33" s="16"/>
      <c r="B33" s="16"/>
      <c r="C33" s="154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84"/>
      <c r="P33" s="334"/>
      <c r="Q33" s="335"/>
      <c r="R33" s="16"/>
      <c r="S33" s="16"/>
      <c r="T33" s="16"/>
      <c r="U33" s="16"/>
    </row>
    <row r="34" spans="1:21">
      <c r="A34" s="16"/>
      <c r="B34" s="16"/>
      <c r="C34" s="154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84"/>
      <c r="P34" s="334"/>
      <c r="Q34" s="335"/>
      <c r="R34" s="16"/>
      <c r="S34" s="16"/>
      <c r="T34" s="16"/>
      <c r="U34" s="16"/>
    </row>
    <row r="35" spans="1:21">
      <c r="A35" s="16"/>
      <c r="B35" s="16"/>
      <c r="C35" s="154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84"/>
      <c r="P35" s="334"/>
      <c r="Q35" s="335"/>
      <c r="R35" s="16"/>
      <c r="S35" s="16"/>
      <c r="T35" s="16"/>
      <c r="U35" s="16"/>
    </row>
    <row r="36" spans="1:21">
      <c r="A36" s="16"/>
      <c r="B36" s="16"/>
      <c r="C36" s="154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84"/>
      <c r="P36" s="334"/>
      <c r="Q36" s="335"/>
      <c r="R36" s="16"/>
      <c r="S36" s="16"/>
      <c r="T36" s="16"/>
      <c r="U36" s="16"/>
    </row>
    <row r="37" spans="1:21" ht="128.25" customHeight="1">
      <c r="A37" s="16"/>
      <c r="B37" s="16"/>
      <c r="C37" s="154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84"/>
      <c r="P37" s="334"/>
      <c r="Q37" s="335"/>
      <c r="R37" s="16"/>
      <c r="S37" s="16"/>
      <c r="T37" s="16"/>
      <c r="U37" s="16"/>
    </row>
    <row r="38" spans="1:21">
      <c r="A38" s="149"/>
      <c r="B38" s="149"/>
      <c r="C38" s="155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1:21">
      <c r="A39" s="149"/>
      <c r="B39" s="149"/>
      <c r="C39" s="155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</row>
    <row r="40" spans="1:21">
      <c r="A40" s="149"/>
      <c r="B40" s="149"/>
      <c r="C40" s="155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</row>
    <row r="41" spans="1:21">
      <c r="A41" s="149"/>
      <c r="B41" s="149"/>
      <c r="C41" s="155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</row>
    <row r="42" spans="1:21">
      <c r="A42" s="149"/>
      <c r="B42" s="149"/>
      <c r="C42" s="155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</row>
    <row r="43" spans="1:21">
      <c r="A43" s="149"/>
      <c r="B43" s="149"/>
      <c r="C43" s="155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</row>
    <row r="44" spans="1:21">
      <c r="A44" s="149"/>
      <c r="B44" s="149"/>
      <c r="C44" s="155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</row>
    <row r="45" spans="1:21">
      <c r="A45" s="149"/>
      <c r="B45" s="149"/>
      <c r="C45" s="155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</row>
    <row r="46" spans="1:21">
      <c r="A46" s="149"/>
      <c r="B46" s="149"/>
      <c r="C46" s="155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</row>
    <row r="47" spans="1:21">
      <c r="A47" s="149"/>
      <c r="B47" s="149"/>
      <c r="C47" s="155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</row>
    <row r="48" spans="1:21">
      <c r="A48" s="149"/>
      <c r="B48" s="149"/>
      <c r="C48" s="155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</row>
    <row r="49" spans="1:14">
      <c r="A49" s="149"/>
      <c r="B49" s="149"/>
      <c r="C49" s="155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</row>
    <row r="50" spans="1:14">
      <c r="A50" s="149"/>
      <c r="B50" s="149"/>
      <c r="C50" s="155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</row>
    <row r="51" spans="1:14">
      <c r="A51" s="149"/>
      <c r="B51" s="149"/>
      <c r="C51" s="155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</row>
    <row r="52" spans="1:14">
      <c r="A52" s="149"/>
      <c r="B52" s="149"/>
      <c r="C52" s="155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</row>
    <row r="53" spans="1:14">
      <c r="A53" s="149"/>
      <c r="B53" s="149"/>
      <c r="C53" s="155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</row>
    <row r="54" spans="1:14">
      <c r="A54" s="149"/>
      <c r="B54" s="149"/>
      <c r="C54" s="155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</row>
    <row r="55" spans="1:14">
      <c r="A55" s="149"/>
      <c r="B55" s="149"/>
      <c r="C55" s="155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</row>
    <row r="56" spans="1:14">
      <c r="A56" s="149"/>
      <c r="B56" s="149"/>
      <c r="C56" s="155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</row>
    <row r="57" spans="1:14">
      <c r="A57" s="149"/>
      <c r="B57" s="149"/>
      <c r="C57" s="155"/>
      <c r="D57" s="149"/>
      <c r="E57" s="149"/>
      <c r="F57" s="149"/>
      <c r="G57" s="149"/>
      <c r="H57" s="149"/>
      <c r="I57" s="149"/>
      <c r="J57" s="149"/>
      <c r="K57" s="149"/>
      <c r="L57" s="149"/>
      <c r="M57" s="149"/>
      <c r="N57" s="149"/>
    </row>
    <row r="58" spans="1:14">
      <c r="A58" s="149"/>
      <c r="B58" s="149"/>
      <c r="C58" s="155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</row>
    <row r="59" spans="1:14">
      <c r="A59" s="149"/>
      <c r="B59" s="149"/>
      <c r="C59" s="155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</row>
    <row r="60" spans="1:14">
      <c r="A60" s="149"/>
      <c r="B60" s="149"/>
      <c r="C60" s="155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</row>
    <row r="61" spans="1:14">
      <c r="A61" s="149"/>
      <c r="B61" s="149"/>
      <c r="C61" s="155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</row>
    <row r="62" spans="1:14">
      <c r="A62" s="149"/>
      <c r="B62" s="149"/>
      <c r="C62" s="155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</row>
    <row r="63" spans="1:14">
      <c r="A63" s="149"/>
      <c r="B63" s="149"/>
      <c r="C63" s="155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</row>
    <row r="64" spans="1:14">
      <c r="A64" s="149"/>
      <c r="B64" s="149"/>
      <c r="C64" s="155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</row>
    <row r="65" spans="1:14">
      <c r="A65" s="149"/>
      <c r="B65" s="149"/>
      <c r="C65" s="155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</row>
    <row r="66" spans="1:14">
      <c r="A66" s="149"/>
      <c r="B66" s="149"/>
      <c r="C66" s="155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</row>
    <row r="67" spans="1:14">
      <c r="A67" s="149"/>
      <c r="B67" s="149"/>
      <c r="C67" s="155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</row>
    <row r="68" spans="1:14">
      <c r="A68" s="149"/>
      <c r="B68" s="149"/>
      <c r="C68" s="155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</row>
    <row r="69" spans="1:14">
      <c r="A69" s="149"/>
      <c r="B69" s="149"/>
      <c r="C69" s="155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</row>
    <row r="70" spans="1:14">
      <c r="A70" s="149"/>
      <c r="B70" s="149"/>
      <c r="C70" s="155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</row>
    <row r="71" spans="1:14">
      <c r="A71" s="149"/>
      <c r="B71" s="149"/>
      <c r="C71" s="155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4">
      <c r="A72" s="149"/>
      <c r="B72" s="149"/>
      <c r="C72" s="155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</row>
    <row r="73" spans="1:14">
      <c r="A73" s="149"/>
      <c r="B73" s="149"/>
      <c r="C73" s="155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</row>
    <row r="74" spans="1:14">
      <c r="A74" s="149"/>
      <c r="B74" s="149"/>
      <c r="C74" s="155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</row>
    <row r="75" spans="1:14">
      <c r="A75" s="149"/>
      <c r="B75" s="149"/>
      <c r="C75" s="155"/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</row>
    <row r="76" spans="1:14">
      <c r="A76" s="149"/>
      <c r="B76" s="149"/>
      <c r="C76" s="155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</row>
    <row r="77" spans="1:14">
      <c r="A77" s="149"/>
      <c r="B77" s="149"/>
      <c r="C77" s="155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</row>
    <row r="78" spans="1:14">
      <c r="A78" s="149"/>
      <c r="B78" s="149"/>
      <c r="C78" s="155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</row>
    <row r="79" spans="1:14">
      <c r="A79" s="149"/>
      <c r="B79" s="149"/>
      <c r="C79" s="155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</row>
    <row r="80" spans="1:14">
      <c r="A80" s="149"/>
      <c r="B80" s="149"/>
      <c r="C80" s="155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</row>
    <row r="81" spans="1:14">
      <c r="A81" s="149"/>
      <c r="B81" s="149"/>
      <c r="C81" s="155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</row>
    <row r="82" spans="1:14">
      <c r="A82" s="149"/>
      <c r="B82" s="149"/>
      <c r="C82" s="155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</row>
    <row r="83" spans="1:14">
      <c r="A83" s="149"/>
      <c r="B83" s="149"/>
      <c r="C83" s="155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</row>
    <row r="84" spans="1:14">
      <c r="A84" s="149"/>
      <c r="B84" s="149"/>
      <c r="C84" s="155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</row>
    <row r="85" spans="1:14">
      <c r="A85" s="149"/>
      <c r="B85" s="149"/>
      <c r="C85" s="155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</row>
    <row r="86" spans="1:14">
      <c r="A86" s="149"/>
      <c r="B86" s="149"/>
      <c r="C86" s="155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</row>
    <row r="87" spans="1:14">
      <c r="A87" s="149"/>
      <c r="B87" s="149"/>
      <c r="C87" s="155"/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49"/>
    </row>
    <row r="88" spans="1:14">
      <c r="A88" s="149"/>
      <c r="B88" s="149"/>
      <c r="C88" s="155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</row>
    <row r="89" spans="1:14">
      <c r="A89" s="149"/>
      <c r="B89" s="149"/>
      <c r="C89" s="155"/>
      <c r="D89" s="149"/>
      <c r="E89" s="149"/>
      <c r="F89" s="149"/>
      <c r="G89" s="149"/>
      <c r="H89" s="149"/>
      <c r="I89" s="149"/>
      <c r="J89" s="149"/>
      <c r="K89" s="149"/>
      <c r="L89" s="149"/>
      <c r="M89" s="149"/>
      <c r="N89" s="149"/>
    </row>
    <row r="90" spans="1:14">
      <c r="A90" s="149"/>
      <c r="B90" s="149"/>
      <c r="C90" s="155"/>
      <c r="D90" s="149"/>
      <c r="E90" s="149"/>
      <c r="F90" s="149"/>
      <c r="G90" s="149"/>
      <c r="H90" s="149"/>
      <c r="I90" s="149"/>
      <c r="J90" s="149"/>
      <c r="K90" s="149"/>
      <c r="L90" s="149"/>
      <c r="M90" s="149"/>
      <c r="N90" s="149"/>
    </row>
    <row r="91" spans="1:14">
      <c r="A91" s="149"/>
      <c r="B91" s="149"/>
      <c r="C91" s="155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</row>
    <row r="92" spans="1:14">
      <c r="A92" s="149"/>
      <c r="B92" s="149"/>
      <c r="C92" s="155"/>
      <c r="D92" s="149"/>
      <c r="E92" s="149"/>
      <c r="F92" s="149"/>
      <c r="G92" s="149"/>
      <c r="H92" s="149"/>
      <c r="I92" s="149"/>
      <c r="J92" s="149"/>
      <c r="K92" s="149"/>
      <c r="L92" s="149"/>
      <c r="M92" s="149"/>
      <c r="N92" s="149"/>
    </row>
    <row r="93" spans="1:14">
      <c r="A93" s="149"/>
      <c r="B93" s="149"/>
      <c r="C93" s="155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</row>
    <row r="94" spans="1:14">
      <c r="A94" s="149"/>
      <c r="B94" s="149"/>
      <c r="C94" s="155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>
      <c r="A95" s="149"/>
      <c r="B95" s="149"/>
      <c r="C95" s="155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</row>
    <row r="96" spans="1:14">
      <c r="A96" s="149"/>
      <c r="B96" s="149"/>
      <c r="C96" s="155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</row>
    <row r="97" spans="1:14">
      <c r="A97" s="149"/>
      <c r="B97" s="149"/>
      <c r="C97" s="155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</row>
    <row r="98" spans="1:14">
      <c r="A98" s="149"/>
      <c r="B98" s="149"/>
      <c r="C98" s="155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</row>
    <row r="99" spans="1:14">
      <c r="A99" s="149"/>
      <c r="B99" s="149"/>
      <c r="C99" s="155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1:14">
      <c r="A100" s="149"/>
      <c r="B100" s="149"/>
      <c r="C100" s="155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</row>
    <row r="101" spans="1:14">
      <c r="A101" s="149"/>
      <c r="B101" s="149"/>
      <c r="C101" s="155"/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</row>
    <row r="102" spans="1:14">
      <c r="A102" s="149"/>
      <c r="B102" s="149"/>
      <c r="C102" s="155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</row>
    <row r="103" spans="1:14">
      <c r="A103" s="149"/>
      <c r="B103" s="149"/>
      <c r="C103" s="155"/>
      <c r="D103" s="149"/>
      <c r="E103" s="149"/>
      <c r="F103" s="149"/>
      <c r="G103" s="149"/>
      <c r="H103" s="149"/>
      <c r="I103" s="149"/>
      <c r="J103" s="149"/>
      <c r="K103" s="149"/>
      <c r="L103" s="149"/>
      <c r="M103" s="149"/>
      <c r="N103" s="149"/>
    </row>
    <row r="104" spans="1:14">
      <c r="A104" s="149"/>
      <c r="B104" s="149"/>
      <c r="C104" s="155"/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</row>
    <row r="105" spans="1:14">
      <c r="A105" s="149"/>
      <c r="B105" s="149"/>
      <c r="C105" s="155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</row>
    <row r="106" spans="1:14">
      <c r="A106" s="149"/>
      <c r="B106" s="149"/>
      <c r="C106" s="155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</row>
    <row r="107" spans="1:14">
      <c r="A107" s="149"/>
      <c r="B107" s="149"/>
      <c r="C107" s="155"/>
      <c r="D107" s="149"/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</row>
    <row r="108" spans="1:14">
      <c r="A108" s="149"/>
      <c r="B108" s="149"/>
      <c r="C108" s="155"/>
      <c r="D108" s="149"/>
      <c r="E108" s="149"/>
      <c r="F108" s="149"/>
      <c r="G108" s="149"/>
      <c r="H108" s="149"/>
      <c r="I108" s="149"/>
      <c r="J108" s="149"/>
      <c r="K108" s="149"/>
      <c r="L108" s="149"/>
      <c r="M108" s="149"/>
      <c r="N108" s="149"/>
    </row>
    <row r="109" spans="1:14">
      <c r="A109" s="149"/>
      <c r="B109" s="149"/>
      <c r="C109" s="155"/>
      <c r="D109" s="149"/>
      <c r="E109" s="149"/>
      <c r="F109" s="149"/>
      <c r="G109" s="149"/>
      <c r="H109" s="149"/>
      <c r="I109" s="149"/>
      <c r="J109" s="149"/>
      <c r="K109" s="149"/>
      <c r="L109" s="149"/>
      <c r="M109" s="149"/>
      <c r="N109" s="149"/>
    </row>
    <row r="110" spans="1:14">
      <c r="A110" s="149"/>
      <c r="B110" s="149"/>
      <c r="C110" s="155"/>
      <c r="D110" s="149"/>
      <c r="E110" s="149"/>
      <c r="F110" s="149"/>
      <c r="G110" s="149"/>
      <c r="H110" s="149"/>
      <c r="I110" s="149"/>
      <c r="J110" s="149"/>
      <c r="K110" s="149"/>
      <c r="L110" s="149"/>
      <c r="M110" s="149"/>
      <c r="N110" s="149"/>
    </row>
    <row r="111" spans="1:14">
      <c r="A111" s="149"/>
      <c r="B111" s="149"/>
      <c r="C111" s="155"/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</row>
    <row r="112" spans="1:14">
      <c r="A112" s="149"/>
      <c r="B112" s="149"/>
      <c r="C112" s="155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</row>
    <row r="113" spans="1:14">
      <c r="A113" s="149"/>
      <c r="B113" s="149"/>
      <c r="C113" s="155"/>
      <c r="D113" s="149"/>
      <c r="E113" s="149"/>
      <c r="F113" s="149"/>
      <c r="G113" s="149"/>
      <c r="H113" s="149"/>
      <c r="I113" s="149"/>
      <c r="J113" s="149"/>
      <c r="K113" s="149"/>
      <c r="L113" s="149"/>
      <c r="M113" s="149"/>
      <c r="N113" s="149"/>
    </row>
    <row r="114" spans="1:14">
      <c r="A114" s="149"/>
      <c r="B114" s="149"/>
      <c r="C114" s="155"/>
      <c r="D114" s="149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</row>
    <row r="115" spans="1:14">
      <c r="A115" s="149"/>
      <c r="B115" s="149"/>
      <c r="C115" s="155"/>
      <c r="D115" s="149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</row>
    <row r="116" spans="1:14">
      <c r="A116" s="149"/>
      <c r="B116" s="149"/>
      <c r="C116" s="155"/>
      <c r="D116" s="149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</row>
    <row r="117" spans="1:14">
      <c r="A117" s="149"/>
      <c r="B117" s="149"/>
      <c r="C117" s="155"/>
      <c r="D117" s="149"/>
      <c r="E117" s="149"/>
      <c r="F117" s="149"/>
      <c r="G117" s="149"/>
      <c r="H117" s="149"/>
      <c r="I117" s="149"/>
      <c r="J117" s="149"/>
      <c r="K117" s="149"/>
      <c r="L117" s="149"/>
      <c r="M117" s="149"/>
      <c r="N117" s="149"/>
    </row>
    <row r="118" spans="1:14">
      <c r="A118" s="149"/>
      <c r="B118" s="149"/>
      <c r="C118" s="155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</row>
    <row r="119" spans="1:14">
      <c r="A119" s="149"/>
      <c r="B119" s="149"/>
      <c r="C119" s="155"/>
      <c r="D119" s="149"/>
      <c r="E119" s="149"/>
      <c r="F119" s="149"/>
      <c r="G119" s="149"/>
      <c r="H119" s="149"/>
      <c r="I119" s="149"/>
      <c r="J119" s="149"/>
      <c r="K119" s="149"/>
      <c r="L119" s="149"/>
      <c r="M119" s="149"/>
      <c r="N119" s="149"/>
    </row>
    <row r="120" spans="1:14">
      <c r="A120" s="149"/>
      <c r="B120" s="149"/>
      <c r="C120" s="155"/>
      <c r="D120" s="149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</row>
    <row r="121" spans="1:14">
      <c r="A121" s="149"/>
      <c r="B121" s="149"/>
      <c r="C121" s="155"/>
      <c r="D121" s="149"/>
      <c r="E121" s="149"/>
      <c r="F121" s="149"/>
      <c r="G121" s="149"/>
      <c r="H121" s="149"/>
      <c r="I121" s="149"/>
      <c r="J121" s="149"/>
      <c r="K121" s="149"/>
      <c r="L121" s="149"/>
      <c r="M121" s="149"/>
      <c r="N121" s="149"/>
    </row>
    <row r="122" spans="1:14">
      <c r="A122" s="149"/>
      <c r="B122" s="149"/>
      <c r="C122" s="155"/>
      <c r="D122" s="149"/>
      <c r="E122" s="149"/>
      <c r="F122" s="149"/>
      <c r="G122" s="149"/>
      <c r="H122" s="149"/>
      <c r="I122" s="149"/>
      <c r="J122" s="149"/>
      <c r="K122" s="149"/>
      <c r="L122" s="149"/>
      <c r="M122" s="149"/>
      <c r="N122" s="149"/>
    </row>
    <row r="123" spans="1:14">
      <c r="A123" s="149"/>
      <c r="B123" s="149"/>
      <c r="C123" s="155"/>
      <c r="D123" s="149"/>
      <c r="E123" s="149"/>
      <c r="F123" s="149"/>
      <c r="G123" s="149"/>
      <c r="H123" s="149"/>
      <c r="I123" s="149"/>
      <c r="J123" s="149"/>
      <c r="K123" s="149"/>
      <c r="L123" s="149"/>
      <c r="M123" s="149"/>
      <c r="N123" s="149"/>
    </row>
    <row r="124" spans="1:14">
      <c r="A124" s="149"/>
      <c r="B124" s="149"/>
      <c r="C124" s="155"/>
      <c r="D124" s="149"/>
      <c r="E124" s="149"/>
      <c r="F124" s="149"/>
      <c r="G124" s="149"/>
      <c r="H124" s="149"/>
      <c r="I124" s="149"/>
      <c r="J124" s="149"/>
      <c r="K124" s="149"/>
      <c r="L124" s="149"/>
      <c r="M124" s="149"/>
      <c r="N124" s="149"/>
    </row>
    <row r="125" spans="1:14">
      <c r="A125" s="149"/>
      <c r="B125" s="149"/>
      <c r="C125" s="155"/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</row>
    <row r="126" spans="1:14">
      <c r="A126" s="149"/>
      <c r="B126" s="149"/>
      <c r="C126" s="155"/>
      <c r="D126" s="149"/>
      <c r="E126" s="149"/>
      <c r="F126" s="149"/>
      <c r="G126" s="149"/>
      <c r="H126" s="149"/>
      <c r="I126" s="149"/>
      <c r="J126" s="149"/>
      <c r="K126" s="149"/>
      <c r="L126" s="149"/>
      <c r="M126" s="149"/>
      <c r="N126" s="149"/>
    </row>
    <row r="127" spans="1:14">
      <c r="A127" s="149"/>
      <c r="B127" s="149"/>
      <c r="C127" s="155"/>
      <c r="D127" s="149"/>
      <c r="E127" s="149"/>
      <c r="F127" s="149"/>
      <c r="G127" s="149"/>
      <c r="H127" s="149"/>
      <c r="I127" s="149"/>
      <c r="J127" s="149"/>
      <c r="K127" s="149"/>
      <c r="L127" s="149"/>
      <c r="M127" s="149"/>
      <c r="N127" s="149"/>
    </row>
    <row r="128" spans="1:14">
      <c r="A128" s="149"/>
      <c r="B128" s="149"/>
      <c r="C128" s="155"/>
      <c r="D128" s="149"/>
      <c r="E128" s="149"/>
      <c r="F128" s="149"/>
      <c r="G128" s="149"/>
      <c r="H128" s="149"/>
      <c r="I128" s="149"/>
      <c r="J128" s="149"/>
      <c r="K128" s="149"/>
      <c r="L128" s="149"/>
      <c r="M128" s="149"/>
      <c r="N128" s="149"/>
    </row>
    <row r="129" spans="1:14">
      <c r="A129" s="149"/>
      <c r="B129" s="149"/>
      <c r="C129" s="155"/>
      <c r="D129" s="149"/>
      <c r="E129" s="149"/>
      <c r="F129" s="149"/>
      <c r="G129" s="149"/>
      <c r="H129" s="149"/>
      <c r="I129" s="149"/>
      <c r="J129" s="149"/>
      <c r="K129" s="149"/>
      <c r="L129" s="149"/>
      <c r="M129" s="149"/>
      <c r="N129" s="149"/>
    </row>
    <row r="130" spans="1:14">
      <c r="A130" s="149"/>
      <c r="B130" s="149"/>
      <c r="C130" s="155"/>
      <c r="D130" s="149"/>
      <c r="E130" s="149"/>
      <c r="F130" s="149"/>
      <c r="G130" s="149"/>
      <c r="H130" s="149"/>
      <c r="I130" s="149"/>
      <c r="J130" s="149"/>
      <c r="K130" s="149"/>
      <c r="L130" s="149"/>
      <c r="M130" s="149"/>
      <c r="N130" s="149"/>
    </row>
    <row r="131" spans="1:14">
      <c r="A131" s="149"/>
      <c r="B131" s="149"/>
      <c r="C131" s="155"/>
      <c r="D131" s="149"/>
      <c r="E131" s="149"/>
      <c r="F131" s="149"/>
      <c r="G131" s="149"/>
      <c r="H131" s="149"/>
      <c r="I131" s="149"/>
      <c r="J131" s="149"/>
      <c r="K131" s="149"/>
      <c r="L131" s="149"/>
      <c r="M131" s="149"/>
      <c r="N131" s="149"/>
    </row>
    <row r="132" spans="1:14">
      <c r="A132" s="149"/>
      <c r="B132" s="149"/>
      <c r="C132" s="155"/>
      <c r="D132" s="149"/>
      <c r="E132" s="149"/>
      <c r="F132" s="149"/>
      <c r="G132" s="149"/>
      <c r="H132" s="149"/>
      <c r="I132" s="149"/>
      <c r="J132" s="149"/>
      <c r="K132" s="149"/>
      <c r="L132" s="149"/>
      <c r="M132" s="149"/>
      <c r="N132" s="149"/>
    </row>
    <row r="133" spans="1:14">
      <c r="A133" s="149"/>
      <c r="B133" s="149"/>
      <c r="C133" s="155"/>
      <c r="D133" s="149"/>
      <c r="E133" s="149"/>
      <c r="F133" s="149"/>
      <c r="G133" s="149"/>
      <c r="H133" s="149"/>
      <c r="I133" s="149"/>
      <c r="J133" s="149"/>
      <c r="K133" s="149"/>
      <c r="L133" s="149"/>
      <c r="M133" s="149"/>
      <c r="N133" s="149"/>
    </row>
    <row r="134" spans="1:14">
      <c r="A134" s="149"/>
      <c r="B134" s="149"/>
      <c r="C134" s="155"/>
      <c r="D134" s="149"/>
      <c r="E134" s="149"/>
      <c r="F134" s="149"/>
      <c r="G134" s="149"/>
      <c r="H134" s="149"/>
      <c r="I134" s="149"/>
      <c r="J134" s="149"/>
      <c r="K134" s="149"/>
      <c r="L134" s="149"/>
      <c r="M134" s="149"/>
      <c r="N134" s="149"/>
    </row>
    <row r="135" spans="1:14">
      <c r="A135" s="149"/>
      <c r="B135" s="149"/>
      <c r="C135" s="155"/>
      <c r="D135" s="149"/>
      <c r="E135" s="149"/>
      <c r="F135" s="149"/>
      <c r="G135" s="149"/>
      <c r="H135" s="149"/>
      <c r="I135" s="149"/>
      <c r="J135" s="149"/>
      <c r="K135" s="149"/>
      <c r="L135" s="149"/>
      <c r="M135" s="149"/>
      <c r="N135" s="149"/>
    </row>
    <row r="136" spans="1:14">
      <c r="A136" s="149"/>
      <c r="B136" s="149"/>
      <c r="C136" s="155"/>
      <c r="D136" s="149"/>
      <c r="E136" s="149"/>
      <c r="F136" s="149"/>
      <c r="G136" s="149"/>
      <c r="H136" s="149"/>
      <c r="I136" s="149"/>
      <c r="J136" s="149"/>
      <c r="K136" s="149"/>
      <c r="L136" s="149"/>
      <c r="M136" s="149"/>
      <c r="N136" s="149"/>
    </row>
    <row r="137" spans="1:14">
      <c r="A137" s="149"/>
      <c r="B137" s="149"/>
      <c r="C137" s="155"/>
      <c r="D137" s="149"/>
      <c r="E137" s="149"/>
      <c r="F137" s="149"/>
      <c r="G137" s="149"/>
      <c r="H137" s="149"/>
      <c r="I137" s="149"/>
      <c r="J137" s="149"/>
      <c r="K137" s="149"/>
      <c r="L137" s="149"/>
      <c r="M137" s="149"/>
      <c r="N137" s="149"/>
    </row>
    <row r="138" spans="1:14">
      <c r="A138" s="149"/>
      <c r="B138" s="149"/>
      <c r="C138" s="155"/>
      <c r="D138" s="149"/>
      <c r="E138" s="149"/>
      <c r="F138" s="149"/>
      <c r="G138" s="149"/>
      <c r="H138" s="149"/>
      <c r="I138" s="149"/>
      <c r="J138" s="149"/>
      <c r="K138" s="149"/>
      <c r="L138" s="149"/>
      <c r="M138" s="149"/>
      <c r="N138" s="149"/>
    </row>
    <row r="139" spans="1:14">
      <c r="A139" s="149"/>
      <c r="B139" s="149"/>
      <c r="C139" s="155"/>
      <c r="D139" s="149"/>
      <c r="E139" s="149"/>
      <c r="F139" s="149"/>
      <c r="G139" s="149"/>
      <c r="H139" s="149"/>
      <c r="I139" s="149"/>
      <c r="J139" s="149"/>
      <c r="K139" s="149"/>
      <c r="L139" s="149"/>
      <c r="M139" s="149"/>
      <c r="N139" s="149"/>
    </row>
    <row r="140" spans="1:14">
      <c r="A140" s="149"/>
      <c r="B140" s="149"/>
      <c r="C140" s="155"/>
      <c r="D140" s="149"/>
      <c r="E140" s="149"/>
      <c r="F140" s="149"/>
      <c r="G140" s="149"/>
      <c r="H140" s="149"/>
      <c r="I140" s="149"/>
      <c r="J140" s="149"/>
      <c r="K140" s="149"/>
      <c r="L140" s="149"/>
      <c r="M140" s="149"/>
      <c r="N140" s="149"/>
    </row>
    <row r="141" spans="1:14">
      <c r="A141" s="149"/>
      <c r="B141" s="149"/>
      <c r="C141" s="155"/>
      <c r="D141" s="149"/>
      <c r="E141" s="149"/>
      <c r="F141" s="149"/>
      <c r="G141" s="149"/>
      <c r="H141" s="149"/>
      <c r="I141" s="149"/>
      <c r="J141" s="149"/>
      <c r="K141" s="149"/>
      <c r="L141" s="149"/>
      <c r="M141" s="149"/>
      <c r="N141" s="149"/>
    </row>
    <row r="142" spans="1:14">
      <c r="A142" s="149"/>
      <c r="B142" s="149"/>
      <c r="C142" s="155"/>
      <c r="D142" s="149"/>
      <c r="E142" s="149"/>
      <c r="F142" s="149"/>
      <c r="G142" s="149"/>
      <c r="H142" s="149"/>
      <c r="I142" s="149"/>
      <c r="J142" s="149"/>
      <c r="K142" s="149"/>
      <c r="L142" s="149"/>
      <c r="M142" s="149"/>
      <c r="N142" s="149"/>
    </row>
    <row r="143" spans="1:14">
      <c r="A143" s="149"/>
      <c r="B143" s="149"/>
      <c r="C143" s="155"/>
      <c r="D143" s="149"/>
      <c r="E143" s="149"/>
      <c r="F143" s="149"/>
      <c r="G143" s="149"/>
      <c r="H143" s="149"/>
      <c r="I143" s="149"/>
      <c r="J143" s="149"/>
      <c r="K143" s="149"/>
      <c r="L143" s="149"/>
      <c r="M143" s="149"/>
      <c r="N143" s="149"/>
    </row>
    <row r="144" spans="1:14">
      <c r="A144" s="149"/>
      <c r="B144" s="149"/>
      <c r="C144" s="155"/>
      <c r="D144" s="149"/>
      <c r="E144" s="149"/>
      <c r="F144" s="149"/>
      <c r="G144" s="149"/>
      <c r="H144" s="149"/>
      <c r="I144" s="149"/>
      <c r="J144" s="149"/>
      <c r="K144" s="149"/>
      <c r="L144" s="149"/>
      <c r="M144" s="149"/>
      <c r="N144" s="149"/>
    </row>
    <row r="145" spans="1:14">
      <c r="A145" s="149"/>
      <c r="B145" s="149"/>
      <c r="C145" s="155"/>
      <c r="D145" s="149"/>
      <c r="E145" s="149"/>
      <c r="F145" s="149"/>
      <c r="G145" s="149"/>
      <c r="H145" s="149"/>
      <c r="I145" s="149"/>
      <c r="J145" s="149"/>
      <c r="K145" s="149"/>
      <c r="L145" s="149"/>
      <c r="M145" s="149"/>
      <c r="N145" s="149"/>
    </row>
    <row r="146" spans="1:14">
      <c r="A146" s="149"/>
      <c r="B146" s="149"/>
      <c r="C146" s="155"/>
      <c r="D146" s="149"/>
      <c r="E146" s="149"/>
      <c r="F146" s="149"/>
      <c r="G146" s="149"/>
      <c r="H146" s="149"/>
      <c r="I146" s="149"/>
      <c r="J146" s="149"/>
      <c r="K146" s="149"/>
      <c r="L146" s="149"/>
      <c r="M146" s="149"/>
      <c r="N146" s="149"/>
    </row>
    <row r="147" spans="1:14">
      <c r="A147" s="149"/>
      <c r="B147" s="149"/>
      <c r="C147" s="155"/>
      <c r="D147" s="149"/>
      <c r="E147" s="149"/>
      <c r="F147" s="149"/>
      <c r="G147" s="149"/>
      <c r="H147" s="149"/>
      <c r="I147" s="149"/>
      <c r="J147" s="149"/>
      <c r="K147" s="149"/>
      <c r="L147" s="149"/>
      <c r="M147" s="149"/>
      <c r="N147" s="149"/>
    </row>
    <row r="148" spans="1:14">
      <c r="A148" s="149"/>
      <c r="B148" s="149"/>
      <c r="C148" s="155"/>
      <c r="D148" s="149"/>
      <c r="E148" s="149"/>
      <c r="F148" s="149"/>
      <c r="G148" s="149"/>
      <c r="H148" s="149"/>
      <c r="I148" s="149"/>
      <c r="J148" s="149"/>
      <c r="K148" s="149"/>
      <c r="L148" s="149"/>
      <c r="M148" s="149"/>
      <c r="N148" s="149"/>
    </row>
    <row r="149" spans="1:14">
      <c r="A149" s="149"/>
      <c r="B149" s="149"/>
      <c r="C149" s="155"/>
      <c r="D149" s="149"/>
      <c r="E149" s="149"/>
      <c r="F149" s="149"/>
      <c r="G149" s="149"/>
      <c r="H149" s="149"/>
      <c r="I149" s="149"/>
      <c r="J149" s="149"/>
      <c r="K149" s="149"/>
      <c r="L149" s="149"/>
      <c r="M149" s="149"/>
      <c r="N149" s="149"/>
    </row>
    <row r="150" spans="1:14">
      <c r="A150" s="149"/>
      <c r="B150" s="149"/>
      <c r="C150" s="155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</row>
    <row r="151" spans="1:14">
      <c r="A151" s="149"/>
      <c r="B151" s="149"/>
      <c r="C151" s="155"/>
      <c r="D151" s="149"/>
      <c r="E151" s="149"/>
      <c r="F151" s="149"/>
      <c r="G151" s="149"/>
      <c r="H151" s="149"/>
      <c r="I151" s="149"/>
      <c r="J151" s="149"/>
      <c r="K151" s="149"/>
      <c r="L151" s="149"/>
      <c r="M151" s="149"/>
      <c r="N151" s="149"/>
    </row>
    <row r="152" spans="1:14">
      <c r="A152" s="149"/>
      <c r="B152" s="149"/>
      <c r="C152" s="155"/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</row>
    <row r="153" spans="1:14">
      <c r="A153" s="149"/>
      <c r="B153" s="149"/>
      <c r="C153" s="155"/>
      <c r="D153" s="149"/>
      <c r="E153" s="149"/>
      <c r="F153" s="149"/>
      <c r="G153" s="149"/>
      <c r="H153" s="149"/>
      <c r="I153" s="149"/>
      <c r="J153" s="149"/>
      <c r="K153" s="149"/>
      <c r="L153" s="149"/>
      <c r="M153" s="149"/>
      <c r="N153" s="149"/>
    </row>
    <row r="154" spans="1:14">
      <c r="A154" s="149"/>
      <c r="B154" s="149"/>
      <c r="C154" s="155"/>
      <c r="D154" s="149"/>
      <c r="E154" s="149"/>
      <c r="F154" s="149"/>
      <c r="G154" s="149"/>
      <c r="H154" s="149"/>
      <c r="I154" s="149"/>
      <c r="J154" s="149"/>
      <c r="K154" s="149"/>
      <c r="L154" s="149"/>
      <c r="M154" s="149"/>
      <c r="N154" s="149"/>
    </row>
    <row r="155" spans="1:14">
      <c r="A155" s="149"/>
      <c r="B155" s="149"/>
      <c r="C155" s="155"/>
      <c r="D155" s="149"/>
      <c r="E155" s="149"/>
      <c r="F155" s="149"/>
      <c r="G155" s="149"/>
      <c r="H155" s="149"/>
      <c r="I155" s="149"/>
      <c r="J155" s="149"/>
      <c r="K155" s="149"/>
      <c r="L155" s="149"/>
      <c r="M155" s="149"/>
      <c r="N155" s="149"/>
    </row>
    <row r="156" spans="1:14">
      <c r="A156" s="149"/>
      <c r="B156" s="149"/>
      <c r="C156" s="155"/>
      <c r="D156" s="149"/>
      <c r="E156" s="149"/>
      <c r="F156" s="149"/>
      <c r="G156" s="149"/>
      <c r="H156" s="149"/>
      <c r="I156" s="149"/>
      <c r="J156" s="149"/>
      <c r="K156" s="149"/>
      <c r="L156" s="149"/>
      <c r="M156" s="149"/>
      <c r="N156" s="149"/>
    </row>
    <row r="157" spans="1:14">
      <c r="A157" s="149"/>
      <c r="B157" s="149"/>
      <c r="C157" s="155"/>
      <c r="D157" s="149"/>
      <c r="E157" s="149"/>
      <c r="F157" s="149"/>
      <c r="G157" s="149"/>
      <c r="H157" s="149"/>
      <c r="I157" s="149"/>
      <c r="J157" s="149"/>
      <c r="K157" s="149"/>
      <c r="L157" s="149"/>
      <c r="M157" s="149"/>
      <c r="N157" s="149"/>
    </row>
    <row r="158" spans="1:14">
      <c r="A158" s="149"/>
      <c r="B158" s="149"/>
      <c r="C158" s="155"/>
      <c r="D158" s="149"/>
      <c r="E158" s="149"/>
      <c r="F158" s="149"/>
      <c r="G158" s="149"/>
      <c r="H158" s="149"/>
      <c r="I158" s="149"/>
      <c r="J158" s="149"/>
      <c r="K158" s="149"/>
      <c r="L158" s="149"/>
      <c r="M158" s="149"/>
      <c r="N158" s="149"/>
    </row>
    <row r="159" spans="1:14">
      <c r="A159" s="149"/>
      <c r="B159" s="149"/>
      <c r="C159" s="155"/>
      <c r="D159" s="149"/>
      <c r="E159" s="149"/>
      <c r="F159" s="149"/>
      <c r="G159" s="149"/>
      <c r="H159" s="149"/>
      <c r="I159" s="149"/>
      <c r="J159" s="149"/>
      <c r="K159" s="149"/>
      <c r="L159" s="149"/>
      <c r="M159" s="149"/>
      <c r="N159" s="149"/>
    </row>
    <row r="160" spans="1:14">
      <c r="A160" s="149"/>
      <c r="B160" s="149"/>
      <c r="C160" s="155"/>
      <c r="D160" s="149"/>
      <c r="E160" s="149"/>
      <c r="F160" s="149"/>
      <c r="G160" s="149"/>
      <c r="H160" s="149"/>
      <c r="I160" s="149"/>
      <c r="J160" s="149"/>
      <c r="K160" s="149"/>
      <c r="L160" s="149"/>
      <c r="M160" s="149"/>
      <c r="N160" s="149"/>
    </row>
    <row r="161" spans="1:14">
      <c r="A161" s="149"/>
      <c r="B161" s="149"/>
      <c r="C161" s="155"/>
      <c r="D161" s="149"/>
      <c r="E161" s="149"/>
      <c r="F161" s="149"/>
      <c r="G161" s="149"/>
      <c r="H161" s="149"/>
      <c r="I161" s="149"/>
      <c r="J161" s="149"/>
      <c r="K161" s="149"/>
      <c r="L161" s="149"/>
      <c r="M161" s="149"/>
      <c r="N161" s="149"/>
    </row>
    <row r="162" spans="1:14">
      <c r="A162" s="149"/>
      <c r="B162" s="149"/>
      <c r="C162" s="155"/>
      <c r="D162" s="149"/>
      <c r="E162" s="149"/>
      <c r="F162" s="149"/>
      <c r="G162" s="149"/>
      <c r="H162" s="149"/>
      <c r="I162" s="149"/>
      <c r="J162" s="149"/>
      <c r="K162" s="149"/>
      <c r="L162" s="149"/>
      <c r="M162" s="149"/>
      <c r="N162" s="149"/>
    </row>
    <row r="163" spans="1:14">
      <c r="A163" s="149"/>
      <c r="B163" s="149"/>
      <c r="C163" s="155"/>
      <c r="D163" s="149"/>
      <c r="E163" s="149"/>
      <c r="F163" s="149"/>
      <c r="G163" s="149"/>
      <c r="H163" s="149"/>
      <c r="I163" s="149"/>
      <c r="J163" s="149"/>
      <c r="K163" s="149"/>
      <c r="L163" s="149"/>
      <c r="M163" s="149"/>
      <c r="N163" s="149"/>
    </row>
    <row r="164" spans="1:14">
      <c r="A164" s="149"/>
      <c r="B164" s="149"/>
      <c r="C164" s="155"/>
      <c r="D164" s="149"/>
      <c r="E164" s="149"/>
      <c r="F164" s="149"/>
      <c r="G164" s="149"/>
      <c r="H164" s="149"/>
      <c r="I164" s="149"/>
      <c r="J164" s="149"/>
      <c r="K164" s="149"/>
      <c r="L164" s="149"/>
      <c r="M164" s="149"/>
      <c r="N164" s="149"/>
    </row>
    <row r="165" spans="1:14">
      <c r="A165" s="149"/>
      <c r="B165" s="149"/>
      <c r="C165" s="155"/>
      <c r="D165" s="149"/>
      <c r="E165" s="149"/>
      <c r="F165" s="149"/>
      <c r="G165" s="149"/>
      <c r="H165" s="149"/>
      <c r="I165" s="149"/>
      <c r="J165" s="149"/>
      <c r="K165" s="149"/>
      <c r="L165" s="149"/>
      <c r="M165" s="149"/>
      <c r="N165" s="149"/>
    </row>
    <row r="166" spans="1:14">
      <c r="A166" s="149"/>
      <c r="B166" s="149"/>
      <c r="C166" s="155"/>
      <c r="D166" s="149"/>
      <c r="E166" s="149"/>
      <c r="F166" s="149"/>
      <c r="G166" s="149"/>
      <c r="H166" s="149"/>
      <c r="I166" s="149"/>
      <c r="J166" s="149"/>
      <c r="K166" s="149"/>
      <c r="L166" s="149"/>
      <c r="M166" s="149"/>
      <c r="N166" s="149"/>
    </row>
    <row r="167" spans="1:14">
      <c r="A167" s="149"/>
      <c r="B167" s="149"/>
      <c r="C167" s="155"/>
      <c r="D167" s="149"/>
      <c r="E167" s="149"/>
      <c r="F167" s="149"/>
      <c r="G167" s="149"/>
      <c r="H167" s="149"/>
      <c r="I167" s="149"/>
      <c r="J167" s="149"/>
      <c r="K167" s="149"/>
      <c r="L167" s="149"/>
      <c r="M167" s="149"/>
      <c r="N167" s="149"/>
    </row>
    <row r="168" spans="1:14">
      <c r="A168" s="149"/>
      <c r="B168" s="149"/>
      <c r="C168" s="155"/>
      <c r="D168" s="149"/>
      <c r="E168" s="149"/>
      <c r="F168" s="149"/>
      <c r="G168" s="149"/>
      <c r="H168" s="149"/>
      <c r="I168" s="149"/>
      <c r="J168" s="149"/>
      <c r="K168" s="149"/>
      <c r="L168" s="149"/>
      <c r="M168" s="149"/>
      <c r="N168" s="149"/>
    </row>
    <row r="169" spans="1:14">
      <c r="A169" s="149"/>
      <c r="B169" s="149"/>
      <c r="C169" s="155"/>
      <c r="D169" s="149"/>
      <c r="E169" s="149"/>
      <c r="F169" s="149"/>
      <c r="G169" s="149"/>
      <c r="H169" s="149"/>
      <c r="I169" s="149"/>
      <c r="J169" s="149"/>
      <c r="K169" s="149"/>
      <c r="L169" s="149"/>
      <c r="M169" s="149"/>
      <c r="N169" s="149"/>
    </row>
    <row r="170" spans="1:14">
      <c r="A170" s="149"/>
      <c r="B170" s="149"/>
      <c r="C170" s="155"/>
      <c r="D170" s="149"/>
      <c r="E170" s="149"/>
      <c r="F170" s="149"/>
      <c r="G170" s="149"/>
      <c r="H170" s="149"/>
      <c r="I170" s="149"/>
      <c r="J170" s="149"/>
      <c r="K170" s="149"/>
      <c r="L170" s="149"/>
      <c r="M170" s="149"/>
      <c r="N170" s="149"/>
    </row>
    <row r="171" spans="1:14">
      <c r="A171" s="149"/>
      <c r="B171" s="149"/>
      <c r="C171" s="155"/>
      <c r="D171" s="149"/>
      <c r="E171" s="149"/>
      <c r="F171" s="149"/>
      <c r="G171" s="149"/>
      <c r="H171" s="149"/>
      <c r="I171" s="149"/>
      <c r="J171" s="149"/>
      <c r="K171" s="149"/>
      <c r="L171" s="149"/>
      <c r="M171" s="149"/>
      <c r="N171" s="149"/>
    </row>
    <row r="172" spans="1:14">
      <c r="A172" s="149"/>
      <c r="B172" s="149"/>
      <c r="C172" s="155"/>
      <c r="D172" s="149"/>
      <c r="E172" s="149"/>
      <c r="F172" s="149"/>
      <c r="G172" s="149"/>
      <c r="H172" s="149"/>
      <c r="I172" s="149"/>
      <c r="J172" s="149"/>
      <c r="K172" s="149"/>
      <c r="L172" s="149"/>
      <c r="M172" s="149"/>
      <c r="N172" s="149"/>
    </row>
    <row r="173" spans="1:14">
      <c r="A173" s="149"/>
      <c r="B173" s="149"/>
      <c r="C173" s="155"/>
      <c r="D173" s="149"/>
      <c r="E173" s="149"/>
      <c r="F173" s="149"/>
      <c r="G173" s="149"/>
      <c r="H173" s="149"/>
      <c r="I173" s="149"/>
      <c r="J173" s="149"/>
      <c r="K173" s="149"/>
      <c r="L173" s="149"/>
      <c r="M173" s="149"/>
      <c r="N173" s="149"/>
    </row>
    <row r="174" spans="1:14">
      <c r="A174" s="149"/>
      <c r="B174" s="149"/>
      <c r="C174" s="155"/>
      <c r="D174" s="149"/>
      <c r="E174" s="149"/>
      <c r="F174" s="149"/>
      <c r="G174" s="149"/>
      <c r="H174" s="149"/>
      <c r="I174" s="149"/>
      <c r="J174" s="149"/>
      <c r="K174" s="149"/>
      <c r="L174" s="149"/>
      <c r="M174" s="149"/>
      <c r="N174" s="149"/>
    </row>
    <row r="175" spans="1:14">
      <c r="A175" s="149"/>
      <c r="B175" s="149"/>
      <c r="C175" s="155"/>
      <c r="D175" s="149"/>
      <c r="E175" s="149"/>
      <c r="F175" s="149"/>
      <c r="G175" s="149"/>
      <c r="H175" s="149"/>
      <c r="I175" s="149"/>
      <c r="J175" s="149"/>
      <c r="K175" s="149"/>
      <c r="L175" s="149"/>
      <c r="M175" s="149"/>
      <c r="N175" s="149"/>
    </row>
    <row r="176" spans="1:14">
      <c r="A176" s="149"/>
      <c r="B176" s="149"/>
      <c r="C176" s="155"/>
      <c r="D176" s="149"/>
      <c r="E176" s="149"/>
      <c r="F176" s="149"/>
      <c r="G176" s="149"/>
      <c r="H176" s="149"/>
      <c r="I176" s="149"/>
      <c r="J176" s="149"/>
      <c r="K176" s="149"/>
      <c r="L176" s="149"/>
      <c r="M176" s="149"/>
      <c r="N176" s="149"/>
    </row>
    <row r="177" spans="1:14">
      <c r="A177" s="149"/>
      <c r="B177" s="149"/>
      <c r="C177" s="155"/>
      <c r="D177" s="149"/>
      <c r="E177" s="149"/>
      <c r="F177" s="149"/>
      <c r="G177" s="149"/>
      <c r="H177" s="149"/>
      <c r="I177" s="149"/>
      <c r="J177" s="149"/>
      <c r="K177" s="149"/>
      <c r="L177" s="149"/>
      <c r="M177" s="149"/>
      <c r="N177" s="149"/>
    </row>
    <row r="178" spans="1:14">
      <c r="A178" s="149"/>
      <c r="B178" s="149"/>
      <c r="C178" s="155"/>
      <c r="D178" s="149"/>
      <c r="E178" s="149"/>
      <c r="F178" s="149"/>
      <c r="G178" s="149"/>
      <c r="H178" s="149"/>
      <c r="I178" s="149"/>
      <c r="J178" s="149"/>
      <c r="K178" s="149"/>
      <c r="L178" s="149"/>
      <c r="M178" s="149"/>
      <c r="N178" s="149"/>
    </row>
    <row r="179" spans="1:14">
      <c r="A179" s="149"/>
      <c r="B179" s="149"/>
      <c r="C179" s="155"/>
      <c r="D179" s="149"/>
      <c r="E179" s="149"/>
      <c r="F179" s="149"/>
      <c r="G179" s="149"/>
      <c r="H179" s="149"/>
      <c r="I179" s="149"/>
      <c r="J179" s="149"/>
      <c r="K179" s="149"/>
      <c r="L179" s="149"/>
      <c r="M179" s="149"/>
      <c r="N179" s="149"/>
    </row>
    <row r="180" spans="1:14">
      <c r="A180" s="149"/>
      <c r="B180" s="149"/>
      <c r="C180" s="155"/>
      <c r="D180" s="149"/>
      <c r="E180" s="149"/>
      <c r="F180" s="149"/>
      <c r="G180" s="149"/>
      <c r="H180" s="149"/>
      <c r="I180" s="149"/>
      <c r="J180" s="149"/>
      <c r="K180" s="149"/>
      <c r="L180" s="149"/>
      <c r="M180" s="149"/>
      <c r="N180" s="149"/>
    </row>
    <row r="181" spans="1:14">
      <c r="A181" s="149"/>
      <c r="B181" s="149"/>
      <c r="C181" s="155"/>
      <c r="D181" s="149"/>
      <c r="E181" s="149"/>
      <c r="F181" s="149"/>
      <c r="G181" s="149"/>
      <c r="H181" s="149"/>
      <c r="I181" s="149"/>
      <c r="J181" s="149"/>
      <c r="K181" s="149"/>
      <c r="L181" s="149"/>
      <c r="M181" s="149"/>
      <c r="N181" s="149"/>
    </row>
    <row r="182" spans="1:14">
      <c r="A182" s="149"/>
      <c r="B182" s="149"/>
      <c r="C182" s="155"/>
      <c r="D182" s="149"/>
      <c r="E182" s="149"/>
      <c r="F182" s="149"/>
      <c r="G182" s="149"/>
      <c r="H182" s="149"/>
      <c r="I182" s="149"/>
      <c r="J182" s="149"/>
      <c r="K182" s="149"/>
      <c r="L182" s="149"/>
      <c r="M182" s="149"/>
      <c r="N182" s="149"/>
    </row>
    <row r="183" spans="1:14">
      <c r="A183" s="149"/>
      <c r="B183" s="149"/>
      <c r="C183" s="155"/>
      <c r="D183" s="149"/>
      <c r="E183" s="149"/>
      <c r="F183" s="149"/>
      <c r="G183" s="149"/>
      <c r="H183" s="149"/>
      <c r="I183" s="149"/>
      <c r="J183" s="149"/>
      <c r="K183" s="149"/>
      <c r="L183" s="149"/>
      <c r="M183" s="149"/>
      <c r="N183" s="149"/>
    </row>
    <row r="184" spans="1:14">
      <c r="A184" s="149"/>
      <c r="B184" s="149"/>
      <c r="C184" s="155"/>
      <c r="D184" s="149"/>
      <c r="E184" s="149"/>
      <c r="F184" s="149"/>
      <c r="G184" s="149"/>
      <c r="H184" s="149"/>
      <c r="I184" s="149"/>
      <c r="J184" s="149"/>
      <c r="K184" s="149"/>
      <c r="L184" s="149"/>
      <c r="M184" s="149"/>
      <c r="N184" s="149"/>
    </row>
    <row r="185" spans="1:14">
      <c r="A185" s="149"/>
      <c r="B185" s="149"/>
      <c r="C185" s="155"/>
      <c r="D185" s="149"/>
      <c r="E185" s="149"/>
      <c r="F185" s="149"/>
      <c r="G185" s="149"/>
      <c r="H185" s="149"/>
      <c r="I185" s="149"/>
      <c r="J185" s="149"/>
      <c r="K185" s="149"/>
      <c r="L185" s="149"/>
      <c r="M185" s="149"/>
      <c r="N185" s="149"/>
    </row>
    <row r="186" spans="1:14">
      <c r="A186" s="149"/>
      <c r="B186" s="149"/>
      <c r="C186" s="155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</row>
    <row r="187" spans="1:14">
      <c r="A187" s="149"/>
      <c r="B187" s="149"/>
      <c r="C187" s="155"/>
      <c r="D187" s="149"/>
      <c r="E187" s="149"/>
      <c r="F187" s="149"/>
      <c r="G187" s="149"/>
      <c r="H187" s="149"/>
      <c r="I187" s="149"/>
      <c r="J187" s="149"/>
      <c r="K187" s="149"/>
      <c r="L187" s="149"/>
      <c r="M187" s="149"/>
      <c r="N187" s="149"/>
    </row>
    <row r="188" spans="1:14">
      <c r="A188" s="149"/>
      <c r="B188" s="149"/>
      <c r="C188" s="155"/>
      <c r="D188" s="149"/>
      <c r="E188" s="149"/>
      <c r="F188" s="149"/>
      <c r="G188" s="149"/>
      <c r="H188" s="149"/>
      <c r="I188" s="149"/>
      <c r="J188" s="149"/>
      <c r="K188" s="149"/>
      <c r="L188" s="149"/>
      <c r="M188" s="149"/>
      <c r="N188" s="149"/>
    </row>
    <row r="189" spans="1:14">
      <c r="A189" s="149"/>
      <c r="B189" s="149"/>
      <c r="C189" s="155"/>
      <c r="D189" s="149"/>
      <c r="E189" s="149"/>
      <c r="F189" s="149"/>
      <c r="G189" s="149"/>
      <c r="H189" s="149"/>
      <c r="I189" s="149"/>
      <c r="J189" s="149"/>
      <c r="K189" s="149"/>
      <c r="L189" s="149"/>
      <c r="M189" s="149"/>
      <c r="N189" s="149"/>
    </row>
    <row r="190" spans="1:14">
      <c r="A190" s="149"/>
      <c r="B190" s="149"/>
      <c r="C190" s="155"/>
      <c r="D190" s="149"/>
      <c r="E190" s="149"/>
      <c r="F190" s="149"/>
      <c r="G190" s="149"/>
      <c r="H190" s="149"/>
      <c r="I190" s="149"/>
      <c r="J190" s="149"/>
      <c r="K190" s="149"/>
      <c r="L190" s="149"/>
      <c r="M190" s="149"/>
      <c r="N190" s="149"/>
    </row>
    <row r="191" spans="1:14">
      <c r="A191" s="149"/>
      <c r="B191" s="149"/>
      <c r="C191" s="155"/>
      <c r="D191" s="149"/>
      <c r="E191" s="149"/>
      <c r="F191" s="149"/>
      <c r="G191" s="149"/>
      <c r="H191" s="149"/>
      <c r="I191" s="149"/>
      <c r="J191" s="149"/>
      <c r="K191" s="149"/>
      <c r="L191" s="149"/>
      <c r="M191" s="149"/>
      <c r="N191" s="149"/>
    </row>
    <row r="192" spans="1:14">
      <c r="A192" s="149"/>
      <c r="B192" s="149"/>
      <c r="C192" s="155"/>
      <c r="D192" s="149"/>
      <c r="E192" s="149"/>
      <c r="F192" s="149"/>
      <c r="G192" s="149"/>
      <c r="H192" s="149"/>
      <c r="I192" s="149"/>
      <c r="J192" s="149"/>
      <c r="K192" s="149"/>
      <c r="L192" s="149"/>
      <c r="M192" s="149"/>
      <c r="N192" s="149"/>
    </row>
    <row r="193" spans="1:14">
      <c r="A193" s="149"/>
      <c r="B193" s="149"/>
      <c r="C193" s="155"/>
      <c r="D193" s="149"/>
      <c r="E193" s="149"/>
      <c r="F193" s="149"/>
      <c r="G193" s="149"/>
      <c r="H193" s="149"/>
      <c r="I193" s="149"/>
      <c r="J193" s="149"/>
      <c r="K193" s="149"/>
      <c r="L193" s="149"/>
      <c r="M193" s="149"/>
      <c r="N193" s="149"/>
    </row>
    <row r="194" spans="1:14">
      <c r="A194" s="149"/>
      <c r="B194" s="149"/>
      <c r="C194" s="155"/>
      <c r="D194" s="149"/>
      <c r="E194" s="149"/>
      <c r="F194" s="149"/>
      <c r="G194" s="149"/>
      <c r="H194" s="149"/>
      <c r="I194" s="149"/>
      <c r="J194" s="149"/>
      <c r="K194" s="149"/>
      <c r="L194" s="149"/>
      <c r="M194" s="149"/>
      <c r="N194" s="149"/>
    </row>
    <row r="195" spans="1:14">
      <c r="A195" s="149"/>
      <c r="B195" s="149"/>
      <c r="C195" s="155"/>
      <c r="D195" s="149"/>
      <c r="E195" s="149"/>
      <c r="F195" s="149"/>
      <c r="G195" s="149"/>
      <c r="H195" s="149"/>
      <c r="I195" s="149"/>
      <c r="J195" s="149"/>
      <c r="K195" s="149"/>
      <c r="L195" s="149"/>
      <c r="M195" s="149"/>
      <c r="N195" s="149"/>
    </row>
    <row r="196" spans="1:14">
      <c r="A196" s="149"/>
      <c r="B196" s="149"/>
      <c r="C196" s="155"/>
      <c r="D196" s="149"/>
      <c r="E196" s="149"/>
      <c r="F196" s="149"/>
      <c r="G196" s="149"/>
      <c r="H196" s="149"/>
      <c r="I196" s="149"/>
      <c r="J196" s="149"/>
      <c r="K196" s="149"/>
      <c r="L196" s="149"/>
      <c r="M196" s="149"/>
      <c r="N196" s="149"/>
    </row>
    <row r="197" spans="1:14">
      <c r="A197" s="149"/>
      <c r="B197" s="149"/>
      <c r="C197" s="155"/>
      <c r="D197" s="149"/>
      <c r="E197" s="149"/>
      <c r="F197" s="149"/>
      <c r="G197" s="149"/>
      <c r="H197" s="149"/>
      <c r="I197" s="149"/>
      <c r="J197" s="149"/>
      <c r="K197" s="149"/>
      <c r="L197" s="149"/>
      <c r="M197" s="149"/>
      <c r="N197" s="149"/>
    </row>
    <row r="198" spans="1:14">
      <c r="A198" s="149"/>
      <c r="B198" s="149"/>
      <c r="C198" s="155"/>
      <c r="D198" s="149"/>
      <c r="E198" s="149"/>
      <c r="F198" s="149"/>
      <c r="G198" s="149"/>
      <c r="H198" s="149"/>
      <c r="I198" s="149"/>
      <c r="J198" s="149"/>
      <c r="K198" s="149"/>
      <c r="L198" s="149"/>
      <c r="M198" s="149"/>
      <c r="N198" s="149"/>
    </row>
    <row r="199" spans="1:14">
      <c r="A199" s="149"/>
      <c r="B199" s="149"/>
      <c r="C199" s="155"/>
      <c r="D199" s="149"/>
      <c r="E199" s="149"/>
      <c r="F199" s="149"/>
      <c r="G199" s="149"/>
      <c r="H199" s="149"/>
      <c r="I199" s="149"/>
      <c r="J199" s="149"/>
      <c r="K199" s="149"/>
      <c r="L199" s="149"/>
      <c r="M199" s="149"/>
      <c r="N199" s="149"/>
    </row>
    <row r="200" spans="1:14">
      <c r="A200" s="149"/>
      <c r="B200" s="149"/>
      <c r="C200" s="155"/>
      <c r="D200" s="149"/>
      <c r="E200" s="149"/>
      <c r="F200" s="149"/>
      <c r="G200" s="149"/>
      <c r="H200" s="149"/>
      <c r="I200" s="149"/>
      <c r="J200" s="149"/>
      <c r="K200" s="149"/>
      <c r="L200" s="149"/>
      <c r="M200" s="149"/>
      <c r="N200" s="149"/>
    </row>
    <row r="201" spans="1:14">
      <c r="A201" s="149"/>
      <c r="B201" s="149"/>
      <c r="C201" s="155"/>
      <c r="D201" s="149"/>
      <c r="E201" s="149"/>
      <c r="F201" s="149"/>
      <c r="G201" s="149"/>
      <c r="H201" s="149"/>
      <c r="I201" s="149"/>
      <c r="J201" s="149"/>
      <c r="K201" s="149"/>
      <c r="L201" s="149"/>
      <c r="M201" s="149"/>
      <c r="N201" s="149"/>
    </row>
    <row r="202" spans="1:14">
      <c r="A202" s="149"/>
      <c r="B202" s="149"/>
      <c r="C202" s="155"/>
      <c r="D202" s="149"/>
      <c r="E202" s="149"/>
      <c r="F202" s="149"/>
      <c r="G202" s="149"/>
      <c r="H202" s="149"/>
      <c r="I202" s="149"/>
      <c r="J202" s="149"/>
      <c r="K202" s="149"/>
      <c r="L202" s="149"/>
      <c r="M202" s="149"/>
      <c r="N202" s="149"/>
    </row>
    <row r="203" spans="1:14">
      <c r="A203" s="149"/>
      <c r="B203" s="149"/>
      <c r="C203" s="155"/>
      <c r="D203" s="149"/>
      <c r="E203" s="149"/>
      <c r="F203" s="149"/>
      <c r="G203" s="149"/>
      <c r="H203" s="149"/>
      <c r="I203" s="149"/>
      <c r="J203" s="149"/>
      <c r="K203" s="149"/>
      <c r="L203" s="149"/>
      <c r="M203" s="149"/>
      <c r="N203" s="149"/>
    </row>
    <row r="204" spans="1:14">
      <c r="A204" s="149"/>
      <c r="B204" s="149"/>
      <c r="C204" s="155"/>
      <c r="D204" s="149"/>
      <c r="E204" s="149"/>
      <c r="F204" s="149"/>
      <c r="G204" s="149"/>
      <c r="H204" s="149"/>
      <c r="I204" s="149"/>
      <c r="J204" s="149"/>
      <c r="K204" s="149"/>
      <c r="L204" s="149"/>
      <c r="M204" s="149"/>
      <c r="N204" s="149"/>
    </row>
    <row r="205" spans="1:14">
      <c r="A205" s="149"/>
      <c r="B205" s="149"/>
      <c r="C205" s="155"/>
      <c r="D205" s="149"/>
      <c r="E205" s="149"/>
      <c r="F205" s="149"/>
      <c r="G205" s="149"/>
      <c r="H205" s="149"/>
      <c r="I205" s="149"/>
      <c r="J205" s="149"/>
      <c r="K205" s="149"/>
      <c r="L205" s="149"/>
      <c r="M205" s="149"/>
      <c r="N205" s="149"/>
    </row>
    <row r="206" spans="1:14">
      <c r="A206" s="149"/>
      <c r="B206" s="149"/>
      <c r="C206" s="155"/>
      <c r="D206" s="149"/>
      <c r="E206" s="149"/>
      <c r="F206" s="149"/>
      <c r="G206" s="149"/>
      <c r="H206" s="149"/>
      <c r="I206" s="149"/>
      <c r="J206" s="149"/>
      <c r="K206" s="149"/>
      <c r="L206" s="149"/>
      <c r="M206" s="149"/>
      <c r="N206" s="149"/>
    </row>
    <row r="207" spans="1:14">
      <c r="A207" s="149"/>
      <c r="B207" s="149"/>
      <c r="C207" s="155"/>
      <c r="D207" s="149"/>
      <c r="E207" s="149"/>
      <c r="F207" s="149"/>
      <c r="G207" s="149"/>
      <c r="H207" s="149"/>
      <c r="I207" s="149"/>
      <c r="J207" s="149"/>
      <c r="K207" s="149"/>
      <c r="L207" s="149"/>
      <c r="M207" s="149"/>
      <c r="N207" s="149"/>
    </row>
    <row r="208" spans="1:14">
      <c r="A208" s="149"/>
      <c r="B208" s="149"/>
      <c r="C208" s="155"/>
      <c r="D208" s="149"/>
      <c r="E208" s="149"/>
      <c r="F208" s="149"/>
      <c r="G208" s="149"/>
      <c r="H208" s="149"/>
      <c r="I208" s="149"/>
      <c r="J208" s="149"/>
      <c r="K208" s="149"/>
      <c r="L208" s="149"/>
      <c r="M208" s="149"/>
      <c r="N208" s="149"/>
    </row>
    <row r="209" spans="1:14">
      <c r="A209" s="149"/>
      <c r="B209" s="149"/>
      <c r="C209" s="155"/>
      <c r="D209" s="149"/>
      <c r="E209" s="149"/>
      <c r="F209" s="149"/>
      <c r="G209" s="149"/>
      <c r="H209" s="149"/>
      <c r="I209" s="149"/>
      <c r="J209" s="149"/>
      <c r="K209" s="149"/>
      <c r="L209" s="149"/>
      <c r="M209" s="149"/>
      <c r="N209" s="149"/>
    </row>
    <row r="210" spans="1:14">
      <c r="A210" s="149"/>
      <c r="B210" s="149"/>
      <c r="C210" s="155"/>
      <c r="D210" s="149"/>
      <c r="E210" s="149"/>
      <c r="F210" s="149"/>
      <c r="G210" s="149"/>
      <c r="H210" s="149"/>
      <c r="I210" s="149"/>
      <c r="J210" s="149"/>
      <c r="K210" s="149"/>
      <c r="L210" s="149"/>
      <c r="M210" s="149"/>
      <c r="N210" s="149"/>
    </row>
    <row r="211" spans="1:14">
      <c r="A211" s="149"/>
      <c r="B211" s="149"/>
      <c r="C211" s="155"/>
      <c r="D211" s="149"/>
      <c r="E211" s="149"/>
      <c r="F211" s="149"/>
      <c r="G211" s="149"/>
      <c r="H211" s="149"/>
      <c r="I211" s="149"/>
      <c r="J211" s="149"/>
      <c r="K211" s="149"/>
      <c r="L211" s="149"/>
      <c r="M211" s="149"/>
      <c r="N211" s="149"/>
    </row>
    <row r="212" spans="1:14">
      <c r="A212" s="149"/>
      <c r="B212" s="149"/>
      <c r="C212" s="155"/>
      <c r="D212" s="149"/>
      <c r="E212" s="149"/>
      <c r="F212" s="149"/>
      <c r="G212" s="149"/>
      <c r="H212" s="149"/>
      <c r="I212" s="149"/>
      <c r="J212" s="149"/>
      <c r="K212" s="149"/>
      <c r="L212" s="149"/>
      <c r="M212" s="149"/>
      <c r="N212" s="149"/>
    </row>
    <row r="213" spans="1:14">
      <c r="A213" s="149"/>
      <c r="B213" s="149"/>
      <c r="C213" s="155"/>
      <c r="D213" s="149"/>
      <c r="E213" s="149"/>
      <c r="F213" s="149"/>
      <c r="G213" s="149"/>
      <c r="H213" s="149"/>
      <c r="I213" s="149"/>
      <c r="J213" s="149"/>
      <c r="K213" s="149"/>
      <c r="L213" s="149"/>
      <c r="M213" s="149"/>
      <c r="N213" s="149"/>
    </row>
    <row r="214" spans="1:14">
      <c r="A214" s="149"/>
      <c r="B214" s="149"/>
      <c r="C214" s="155"/>
      <c r="D214" s="149"/>
      <c r="E214" s="149"/>
      <c r="F214" s="149"/>
      <c r="G214" s="149"/>
      <c r="H214" s="149"/>
      <c r="I214" s="149"/>
      <c r="J214" s="149"/>
      <c r="K214" s="149"/>
      <c r="L214" s="149"/>
      <c r="M214" s="149"/>
      <c r="N214" s="149"/>
    </row>
    <row r="215" spans="1:14">
      <c r="A215" s="149"/>
      <c r="B215" s="149"/>
      <c r="C215" s="155"/>
      <c r="D215" s="149"/>
      <c r="E215" s="149"/>
      <c r="F215" s="149"/>
      <c r="G215" s="149"/>
      <c r="H215" s="149"/>
      <c r="I215" s="149"/>
      <c r="J215" s="149"/>
      <c r="K215" s="149"/>
      <c r="L215" s="149"/>
      <c r="M215" s="149"/>
      <c r="N215" s="149"/>
    </row>
    <row r="216" spans="1:14">
      <c r="A216" s="149"/>
      <c r="B216" s="149"/>
      <c r="C216" s="155"/>
      <c r="D216" s="149"/>
      <c r="E216" s="149"/>
      <c r="F216" s="149"/>
      <c r="G216" s="149"/>
      <c r="H216" s="149"/>
      <c r="I216" s="149"/>
      <c r="J216" s="149"/>
      <c r="K216" s="149"/>
      <c r="L216" s="149"/>
      <c r="M216" s="149"/>
      <c r="N216" s="149"/>
    </row>
    <row r="217" spans="1:14">
      <c r="A217" s="149"/>
      <c r="B217" s="149"/>
      <c r="C217" s="155"/>
      <c r="D217" s="149"/>
      <c r="E217" s="149"/>
      <c r="F217" s="149"/>
      <c r="G217" s="149"/>
      <c r="H217" s="149"/>
      <c r="I217" s="149"/>
      <c r="J217" s="149"/>
      <c r="K217" s="149"/>
      <c r="L217" s="149"/>
      <c r="M217" s="149"/>
      <c r="N217" s="149"/>
    </row>
    <row r="218" spans="1:14">
      <c r="A218" s="149"/>
      <c r="B218" s="149"/>
      <c r="C218" s="155"/>
      <c r="D218" s="149"/>
      <c r="E218" s="149"/>
      <c r="F218" s="149"/>
      <c r="G218" s="149"/>
      <c r="H218" s="149"/>
      <c r="I218" s="149"/>
      <c r="J218" s="149"/>
      <c r="K218" s="149"/>
      <c r="L218" s="149"/>
      <c r="M218" s="149"/>
      <c r="N218" s="149"/>
    </row>
    <row r="219" spans="1:14">
      <c r="A219" s="149"/>
      <c r="B219" s="149"/>
      <c r="C219" s="155"/>
      <c r="D219" s="149"/>
      <c r="E219" s="149"/>
      <c r="F219" s="149"/>
      <c r="G219" s="149"/>
      <c r="H219" s="149"/>
      <c r="I219" s="149"/>
      <c r="J219" s="149"/>
      <c r="K219" s="149"/>
      <c r="L219" s="149"/>
      <c r="M219" s="149"/>
      <c r="N219" s="149"/>
    </row>
    <row r="220" spans="1:14">
      <c r="A220" s="149"/>
      <c r="B220" s="149"/>
      <c r="C220" s="155"/>
      <c r="D220" s="149"/>
      <c r="E220" s="149"/>
      <c r="F220" s="149"/>
      <c r="G220" s="149"/>
      <c r="H220" s="149"/>
      <c r="I220" s="149"/>
      <c r="J220" s="149"/>
      <c r="K220" s="149"/>
      <c r="L220" s="149"/>
      <c r="M220" s="149"/>
      <c r="N220" s="149"/>
    </row>
    <row r="221" spans="1:14">
      <c r="A221" s="149"/>
      <c r="B221" s="149"/>
      <c r="C221" s="155"/>
      <c r="D221" s="149"/>
      <c r="E221" s="149"/>
      <c r="F221" s="149"/>
      <c r="G221" s="149"/>
      <c r="H221" s="149"/>
      <c r="I221" s="149"/>
      <c r="J221" s="149"/>
      <c r="K221" s="149"/>
      <c r="L221" s="149"/>
      <c r="M221" s="149"/>
      <c r="N221" s="149"/>
    </row>
    <row r="222" spans="1:14">
      <c r="A222" s="149"/>
      <c r="B222" s="149"/>
      <c r="C222" s="155"/>
      <c r="D222" s="149"/>
      <c r="E222" s="149"/>
      <c r="F222" s="149"/>
      <c r="G222" s="149"/>
      <c r="H222" s="149"/>
      <c r="I222" s="149"/>
      <c r="J222" s="149"/>
      <c r="K222" s="149"/>
      <c r="L222" s="149"/>
      <c r="M222" s="149"/>
      <c r="N222" s="149"/>
    </row>
    <row r="223" spans="1:14">
      <c r="A223" s="149"/>
      <c r="B223" s="149"/>
      <c r="C223" s="155"/>
      <c r="D223" s="149"/>
      <c r="E223" s="149"/>
      <c r="F223" s="149"/>
      <c r="G223" s="149"/>
      <c r="H223" s="149"/>
      <c r="I223" s="149"/>
      <c r="J223" s="149"/>
      <c r="K223" s="149"/>
      <c r="L223" s="149"/>
      <c r="M223" s="149"/>
      <c r="N223" s="149"/>
    </row>
    <row r="224" spans="1:14">
      <c r="A224" s="149"/>
      <c r="B224" s="149"/>
      <c r="C224" s="155"/>
      <c r="D224" s="149"/>
      <c r="E224" s="149"/>
      <c r="F224" s="149"/>
      <c r="G224" s="149"/>
      <c r="H224" s="149"/>
      <c r="I224" s="149"/>
      <c r="J224" s="149"/>
      <c r="K224" s="149"/>
      <c r="L224" s="149"/>
      <c r="M224" s="149"/>
      <c r="N224" s="149"/>
    </row>
    <row r="225" spans="1:14">
      <c r="A225" s="149"/>
      <c r="B225" s="149"/>
      <c r="C225" s="155"/>
      <c r="D225" s="149"/>
      <c r="E225" s="149"/>
      <c r="F225" s="149"/>
      <c r="G225" s="149"/>
      <c r="H225" s="149"/>
      <c r="I225" s="149"/>
      <c r="J225" s="149"/>
      <c r="K225" s="149"/>
      <c r="L225" s="149"/>
      <c r="M225" s="149"/>
      <c r="N225" s="149"/>
    </row>
    <row r="226" spans="1:14">
      <c r="A226" s="149"/>
      <c r="B226" s="149"/>
      <c r="C226" s="155"/>
      <c r="D226" s="149"/>
      <c r="E226" s="149"/>
      <c r="F226" s="149"/>
      <c r="G226" s="149"/>
      <c r="H226" s="149"/>
      <c r="I226" s="149"/>
      <c r="J226" s="149"/>
      <c r="K226" s="149"/>
      <c r="L226" s="149"/>
      <c r="M226" s="149"/>
      <c r="N226" s="149"/>
    </row>
    <row r="227" spans="1:14">
      <c r="A227" s="149"/>
      <c r="B227" s="149"/>
      <c r="C227" s="155"/>
      <c r="D227" s="149"/>
      <c r="E227" s="149"/>
      <c r="F227" s="149"/>
      <c r="G227" s="149"/>
      <c r="H227" s="149"/>
      <c r="I227" s="149"/>
      <c r="J227" s="149"/>
      <c r="K227" s="149"/>
      <c r="L227" s="149"/>
      <c r="M227" s="149"/>
      <c r="N227" s="149"/>
    </row>
    <row r="228" spans="1:14">
      <c r="A228" s="149"/>
      <c r="B228" s="149"/>
      <c r="C228" s="155"/>
      <c r="D228" s="149"/>
      <c r="E228" s="149"/>
      <c r="F228" s="149"/>
      <c r="G228" s="149"/>
      <c r="H228" s="149"/>
      <c r="I228" s="149"/>
      <c r="J228" s="149"/>
      <c r="K228" s="149"/>
      <c r="L228" s="149"/>
      <c r="M228" s="149"/>
      <c r="N228" s="149"/>
    </row>
    <row r="229" spans="1:14">
      <c r="A229" s="149"/>
      <c r="B229" s="149"/>
      <c r="C229" s="155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</row>
    <row r="230" spans="1:14">
      <c r="A230" s="149"/>
      <c r="B230" s="149"/>
      <c r="C230" s="155"/>
      <c r="D230" s="149"/>
      <c r="E230" s="149"/>
      <c r="F230" s="149"/>
      <c r="G230" s="149"/>
      <c r="H230" s="149"/>
      <c r="I230" s="149"/>
      <c r="J230" s="149"/>
      <c r="K230" s="149"/>
      <c r="L230" s="149"/>
      <c r="M230" s="149"/>
      <c r="N230" s="149"/>
    </row>
    <row r="231" spans="1:14">
      <c r="A231" s="149"/>
      <c r="B231" s="149"/>
      <c r="C231" s="155"/>
      <c r="D231" s="149"/>
      <c r="E231" s="149"/>
      <c r="F231" s="149"/>
      <c r="G231" s="149"/>
      <c r="H231" s="149"/>
      <c r="I231" s="149"/>
      <c r="J231" s="149"/>
      <c r="K231" s="149"/>
      <c r="L231" s="149"/>
      <c r="M231" s="149"/>
      <c r="N231" s="149"/>
    </row>
    <row r="232" spans="1:14">
      <c r="A232" s="149"/>
      <c r="B232" s="149"/>
      <c r="C232" s="155"/>
      <c r="D232" s="149"/>
      <c r="E232" s="149"/>
      <c r="F232" s="149"/>
      <c r="G232" s="149"/>
      <c r="H232" s="149"/>
      <c r="I232" s="149"/>
      <c r="J232" s="149"/>
      <c r="K232" s="149"/>
      <c r="L232" s="149"/>
      <c r="M232" s="149"/>
      <c r="N232" s="149"/>
    </row>
    <row r="233" spans="1:14">
      <c r="A233" s="149"/>
      <c r="B233" s="149"/>
      <c r="C233" s="155"/>
      <c r="D233" s="149"/>
      <c r="E233" s="149"/>
      <c r="F233" s="149"/>
      <c r="G233" s="149"/>
      <c r="H233" s="149"/>
      <c r="I233" s="149"/>
      <c r="J233" s="149"/>
      <c r="K233" s="149"/>
      <c r="L233" s="149"/>
      <c r="M233" s="149"/>
      <c r="N233" s="149"/>
    </row>
    <row r="234" spans="1:14">
      <c r="A234" s="149"/>
      <c r="B234" s="149"/>
      <c r="C234" s="155"/>
      <c r="D234" s="149"/>
      <c r="E234" s="149"/>
      <c r="F234" s="149"/>
      <c r="G234" s="149"/>
      <c r="H234" s="149"/>
      <c r="I234" s="149"/>
      <c r="J234" s="149"/>
      <c r="K234" s="149"/>
      <c r="L234" s="149"/>
      <c r="M234" s="149"/>
      <c r="N234" s="149"/>
    </row>
    <row r="235" spans="1:14">
      <c r="A235" s="149"/>
      <c r="B235" s="149"/>
      <c r="C235" s="155"/>
      <c r="D235" s="149"/>
      <c r="E235" s="149"/>
      <c r="F235" s="149"/>
      <c r="G235" s="149"/>
      <c r="H235" s="149"/>
      <c r="I235" s="149"/>
      <c r="J235" s="149"/>
      <c r="K235" s="149"/>
      <c r="L235" s="149"/>
      <c r="M235" s="149"/>
      <c r="N235" s="149"/>
    </row>
    <row r="236" spans="1:14">
      <c r="A236" s="149"/>
      <c r="B236" s="149"/>
      <c r="C236" s="155"/>
      <c r="D236" s="149"/>
      <c r="E236" s="149"/>
      <c r="F236" s="149"/>
      <c r="G236" s="149"/>
      <c r="H236" s="149"/>
      <c r="I236" s="149"/>
      <c r="J236" s="149"/>
      <c r="K236" s="149"/>
      <c r="L236" s="149"/>
      <c r="M236" s="149"/>
      <c r="N236" s="149"/>
    </row>
    <row r="237" spans="1:14">
      <c r="A237" s="149"/>
      <c r="B237" s="149"/>
      <c r="C237" s="155"/>
      <c r="D237" s="149"/>
      <c r="E237" s="149"/>
      <c r="F237" s="149"/>
      <c r="G237" s="149"/>
      <c r="H237" s="149"/>
      <c r="I237" s="149"/>
      <c r="J237" s="149"/>
      <c r="K237" s="149"/>
      <c r="L237" s="149"/>
      <c r="M237" s="149"/>
      <c r="N237" s="149"/>
    </row>
    <row r="238" spans="1:14">
      <c r="A238" s="149"/>
      <c r="B238" s="149"/>
      <c r="C238" s="155"/>
      <c r="D238" s="149"/>
      <c r="E238" s="149"/>
      <c r="F238" s="149"/>
      <c r="G238" s="149"/>
      <c r="H238" s="149"/>
      <c r="I238" s="149"/>
      <c r="J238" s="149"/>
      <c r="K238" s="149"/>
      <c r="L238" s="149"/>
      <c r="M238" s="149"/>
      <c r="N238" s="149"/>
    </row>
    <row r="239" spans="1:14">
      <c r="A239" s="149"/>
      <c r="B239" s="149"/>
      <c r="C239" s="155"/>
      <c r="D239" s="149"/>
      <c r="E239" s="149"/>
      <c r="F239" s="149"/>
      <c r="G239" s="149"/>
      <c r="H239" s="149"/>
      <c r="I239" s="149"/>
      <c r="J239" s="149"/>
      <c r="K239" s="149"/>
      <c r="L239" s="149"/>
      <c r="M239" s="149"/>
      <c r="N239" s="149"/>
    </row>
    <row r="240" spans="1:14">
      <c r="A240" s="149"/>
      <c r="B240" s="149"/>
      <c r="C240" s="155"/>
      <c r="D240" s="149"/>
      <c r="E240" s="149"/>
      <c r="F240" s="149"/>
      <c r="G240" s="149"/>
      <c r="H240" s="149"/>
      <c r="I240" s="149"/>
      <c r="J240" s="149"/>
      <c r="K240" s="149"/>
      <c r="L240" s="149"/>
      <c r="M240" s="149"/>
      <c r="N240" s="149"/>
    </row>
    <row r="241" spans="1:14">
      <c r="A241" s="149"/>
      <c r="B241" s="149"/>
      <c r="C241" s="155"/>
      <c r="D241" s="149"/>
      <c r="E241" s="149"/>
      <c r="F241" s="149"/>
      <c r="G241" s="149"/>
      <c r="H241" s="149"/>
      <c r="I241" s="149"/>
      <c r="J241" s="149"/>
      <c r="K241" s="149"/>
      <c r="L241" s="149"/>
      <c r="M241" s="149"/>
      <c r="N241" s="149"/>
    </row>
    <row r="242" spans="1:14">
      <c r="A242" s="149"/>
      <c r="B242" s="149"/>
      <c r="C242" s="155"/>
      <c r="D242" s="149"/>
      <c r="E242" s="149"/>
      <c r="F242" s="149"/>
      <c r="G242" s="149"/>
      <c r="H242" s="149"/>
      <c r="I242" s="149"/>
      <c r="J242" s="149"/>
      <c r="K242" s="149"/>
      <c r="L242" s="149"/>
      <c r="M242" s="149"/>
      <c r="N242" s="149"/>
    </row>
    <row r="243" spans="1:14">
      <c r="A243" s="149"/>
      <c r="B243" s="149"/>
      <c r="C243" s="155"/>
      <c r="D243" s="149"/>
      <c r="E243" s="149"/>
      <c r="F243" s="149"/>
      <c r="G243" s="149"/>
      <c r="H243" s="149"/>
      <c r="I243" s="149"/>
      <c r="J243" s="149"/>
      <c r="K243" s="149"/>
      <c r="L243" s="149"/>
      <c r="M243" s="149"/>
      <c r="N243" s="149"/>
    </row>
    <row r="244" spans="1:14">
      <c r="A244" s="149"/>
      <c r="B244" s="149"/>
      <c r="C244" s="155"/>
      <c r="D244" s="149"/>
      <c r="E244" s="149"/>
      <c r="F244" s="149"/>
      <c r="G244" s="149"/>
      <c r="H244" s="149"/>
      <c r="I244" s="149"/>
      <c r="J244" s="149"/>
      <c r="K244" s="149"/>
      <c r="L244" s="149"/>
      <c r="M244" s="149"/>
      <c r="N244" s="149"/>
    </row>
    <row r="245" spans="1:14">
      <c r="A245" s="149"/>
      <c r="B245" s="149"/>
      <c r="C245" s="155"/>
      <c r="D245" s="149"/>
      <c r="E245" s="149"/>
      <c r="F245" s="149"/>
      <c r="G245" s="149"/>
      <c r="H245" s="149"/>
      <c r="I245" s="149"/>
      <c r="J245" s="149"/>
      <c r="K245" s="149"/>
      <c r="L245" s="149"/>
      <c r="M245" s="149"/>
      <c r="N245" s="149"/>
    </row>
    <row r="246" spans="1:14">
      <c r="A246" s="149"/>
      <c r="B246" s="149"/>
      <c r="C246" s="155"/>
      <c r="D246" s="149"/>
      <c r="E246" s="149"/>
      <c r="F246" s="149"/>
      <c r="G246" s="149"/>
      <c r="H246" s="149"/>
      <c r="I246" s="149"/>
      <c r="J246" s="149"/>
      <c r="K246" s="149"/>
      <c r="L246" s="149"/>
      <c r="M246" s="149"/>
      <c r="N246" s="149"/>
    </row>
    <row r="247" spans="1:14">
      <c r="A247" s="149"/>
      <c r="B247" s="149"/>
      <c r="C247" s="155"/>
      <c r="D247" s="149"/>
      <c r="E247" s="149"/>
      <c r="F247" s="149"/>
      <c r="G247" s="149"/>
      <c r="H247" s="149"/>
      <c r="I247" s="149"/>
      <c r="J247" s="149"/>
      <c r="K247" s="149"/>
      <c r="L247" s="149"/>
      <c r="M247" s="149"/>
      <c r="N247" s="149"/>
    </row>
    <row r="248" spans="1:14">
      <c r="A248" s="149"/>
      <c r="B248" s="149"/>
      <c r="C248" s="155"/>
      <c r="D248" s="149"/>
      <c r="E248" s="149"/>
      <c r="F248" s="149"/>
      <c r="G248" s="149"/>
      <c r="H248" s="149"/>
      <c r="I248" s="149"/>
      <c r="J248" s="149"/>
      <c r="K248" s="149"/>
      <c r="L248" s="149"/>
      <c r="M248" s="149"/>
      <c r="N248" s="149"/>
    </row>
    <row r="249" spans="1:14">
      <c r="A249" s="149"/>
      <c r="B249" s="149"/>
      <c r="C249" s="155"/>
      <c r="D249" s="149"/>
      <c r="E249" s="149"/>
      <c r="F249" s="149"/>
      <c r="G249" s="149"/>
      <c r="H249" s="149"/>
      <c r="I249" s="149"/>
      <c r="J249" s="149"/>
      <c r="K249" s="149"/>
      <c r="L249" s="149"/>
      <c r="M249" s="149"/>
      <c r="N249" s="149"/>
    </row>
    <row r="250" spans="1:14">
      <c r="A250" s="149"/>
      <c r="B250" s="149"/>
      <c r="C250" s="155"/>
      <c r="D250" s="149"/>
      <c r="E250" s="149"/>
      <c r="F250" s="149"/>
      <c r="G250" s="149"/>
      <c r="H250" s="149"/>
      <c r="I250" s="149"/>
      <c r="J250" s="149"/>
      <c r="K250" s="149"/>
      <c r="L250" s="149"/>
      <c r="M250" s="149"/>
      <c r="N250" s="149"/>
    </row>
    <row r="251" spans="1:14">
      <c r="A251" s="149"/>
      <c r="B251" s="149"/>
      <c r="C251" s="155"/>
      <c r="D251" s="149"/>
      <c r="E251" s="149"/>
      <c r="F251" s="149"/>
      <c r="G251" s="149"/>
      <c r="H251" s="149"/>
      <c r="I251" s="149"/>
      <c r="J251" s="149"/>
      <c r="K251" s="149"/>
      <c r="L251" s="149"/>
      <c r="M251" s="149"/>
      <c r="N251" s="149"/>
    </row>
    <row r="252" spans="1:14">
      <c r="A252" s="149"/>
      <c r="B252" s="149"/>
      <c r="C252" s="155"/>
      <c r="D252" s="149"/>
      <c r="E252" s="149"/>
      <c r="F252" s="149"/>
      <c r="G252" s="149"/>
      <c r="H252" s="149"/>
      <c r="I252" s="149"/>
      <c r="J252" s="149"/>
      <c r="K252" s="149"/>
      <c r="L252" s="149"/>
      <c r="M252" s="149"/>
      <c r="N252" s="149"/>
    </row>
    <row r="253" spans="1:14">
      <c r="A253" s="149"/>
      <c r="B253" s="149"/>
      <c r="C253" s="155"/>
      <c r="D253" s="149"/>
      <c r="E253" s="149"/>
      <c r="F253" s="149"/>
      <c r="G253" s="149"/>
      <c r="H253" s="149"/>
      <c r="I253" s="149"/>
      <c r="J253" s="149"/>
      <c r="K253" s="149"/>
      <c r="L253" s="149"/>
      <c r="M253" s="149"/>
      <c r="N253" s="149"/>
    </row>
    <row r="254" spans="1:14">
      <c r="A254" s="149"/>
      <c r="B254" s="149"/>
      <c r="C254" s="155"/>
      <c r="D254" s="149"/>
      <c r="E254" s="149"/>
      <c r="F254" s="149"/>
      <c r="G254" s="149"/>
      <c r="H254" s="149"/>
      <c r="I254" s="149"/>
      <c r="J254" s="149"/>
      <c r="K254" s="149"/>
      <c r="L254" s="149"/>
      <c r="M254" s="149"/>
      <c r="N254" s="149"/>
    </row>
    <row r="255" spans="1:14">
      <c r="A255" s="149"/>
      <c r="B255" s="149"/>
      <c r="C255" s="155"/>
      <c r="D255" s="149"/>
      <c r="E255" s="149"/>
      <c r="F255" s="149"/>
      <c r="G255" s="149"/>
      <c r="H255" s="149"/>
      <c r="I255" s="149"/>
      <c r="J255" s="149"/>
      <c r="K255" s="149"/>
      <c r="L255" s="149"/>
      <c r="M255" s="149"/>
      <c r="N255" s="149"/>
    </row>
    <row r="256" spans="1:14">
      <c r="A256" s="149"/>
      <c r="B256" s="149"/>
      <c r="C256" s="155"/>
      <c r="D256" s="149"/>
      <c r="E256" s="149"/>
      <c r="F256" s="149"/>
      <c r="G256" s="149"/>
      <c r="H256" s="149"/>
      <c r="I256" s="149"/>
      <c r="J256" s="149"/>
      <c r="K256" s="149"/>
      <c r="L256" s="149"/>
      <c r="M256" s="149"/>
      <c r="N256" s="149"/>
    </row>
    <row r="257" spans="1:14">
      <c r="A257" s="149"/>
      <c r="B257" s="149"/>
      <c r="C257" s="155"/>
      <c r="D257" s="149"/>
      <c r="E257" s="149"/>
      <c r="F257" s="149"/>
      <c r="G257" s="149"/>
      <c r="H257" s="149"/>
      <c r="I257" s="149"/>
      <c r="J257" s="149"/>
      <c r="K257" s="149"/>
      <c r="L257" s="149"/>
      <c r="M257" s="149"/>
      <c r="N257" s="149"/>
    </row>
    <row r="258" spans="1:14">
      <c r="A258" s="149"/>
      <c r="B258" s="149"/>
      <c r="C258" s="155"/>
      <c r="D258" s="149"/>
      <c r="E258" s="149"/>
      <c r="F258" s="149"/>
      <c r="G258" s="149"/>
      <c r="H258" s="149"/>
      <c r="I258" s="149"/>
      <c r="J258" s="149"/>
      <c r="K258" s="149"/>
      <c r="L258" s="149"/>
      <c r="M258" s="149"/>
      <c r="N258" s="149"/>
    </row>
    <row r="259" spans="1:14">
      <c r="A259" s="149"/>
      <c r="B259" s="149"/>
      <c r="C259" s="155"/>
      <c r="D259" s="149"/>
      <c r="E259" s="149"/>
      <c r="F259" s="149"/>
      <c r="G259" s="149"/>
      <c r="H259" s="149"/>
      <c r="I259" s="149"/>
      <c r="J259" s="149"/>
      <c r="K259" s="149"/>
      <c r="L259" s="149"/>
      <c r="M259" s="149"/>
      <c r="N259" s="149"/>
    </row>
    <row r="260" spans="1:14">
      <c r="A260" s="149"/>
      <c r="B260" s="149"/>
      <c r="C260" s="155"/>
      <c r="D260" s="149"/>
      <c r="E260" s="149"/>
      <c r="F260" s="149"/>
      <c r="G260" s="149"/>
      <c r="H260" s="149"/>
      <c r="I260" s="149"/>
      <c r="J260" s="149"/>
      <c r="K260" s="149"/>
      <c r="L260" s="149"/>
      <c r="M260" s="149"/>
      <c r="N260" s="149"/>
    </row>
    <row r="261" spans="1:14">
      <c r="A261" s="149"/>
      <c r="B261" s="149"/>
      <c r="C261" s="155"/>
      <c r="D261" s="149"/>
      <c r="E261" s="149"/>
      <c r="F261" s="149"/>
      <c r="G261" s="149"/>
      <c r="H261" s="149"/>
      <c r="I261" s="149"/>
      <c r="J261" s="149"/>
      <c r="K261" s="149"/>
      <c r="L261" s="149"/>
      <c r="M261" s="149"/>
      <c r="N261" s="149"/>
    </row>
    <row r="262" spans="1:14">
      <c r="A262" s="149"/>
      <c r="B262" s="149"/>
      <c r="C262" s="155"/>
      <c r="D262" s="149"/>
      <c r="E262" s="149"/>
      <c r="F262" s="149"/>
      <c r="G262" s="149"/>
      <c r="H262" s="149"/>
      <c r="I262" s="149"/>
      <c r="J262" s="149"/>
      <c r="K262" s="149"/>
      <c r="L262" s="149"/>
      <c r="M262" s="149"/>
      <c r="N262" s="149"/>
    </row>
    <row r="263" spans="1:14">
      <c r="A263" s="149"/>
      <c r="B263" s="149"/>
      <c r="C263" s="155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</row>
    <row r="264" spans="1:14">
      <c r="A264" s="149"/>
      <c r="B264" s="149"/>
      <c r="C264" s="155"/>
      <c r="D264" s="149"/>
      <c r="E264" s="149"/>
      <c r="F264" s="149"/>
      <c r="G264" s="149"/>
      <c r="H264" s="149"/>
      <c r="I264" s="149"/>
      <c r="J264" s="149"/>
      <c r="K264" s="149"/>
      <c r="L264" s="149"/>
      <c r="M264" s="149"/>
      <c r="N264" s="149"/>
    </row>
    <row r="265" spans="1:14">
      <c r="A265" s="149"/>
      <c r="B265" s="149"/>
      <c r="C265" s="155"/>
      <c r="D265" s="149"/>
      <c r="E265" s="149"/>
      <c r="F265" s="149"/>
      <c r="G265" s="149"/>
      <c r="H265" s="149"/>
      <c r="I265" s="149"/>
      <c r="J265" s="149"/>
      <c r="K265" s="149"/>
      <c r="L265" s="149"/>
      <c r="M265" s="149"/>
      <c r="N265" s="149"/>
    </row>
    <row r="266" spans="1:14">
      <c r="A266" s="149"/>
      <c r="B266" s="149"/>
      <c r="C266" s="155"/>
      <c r="D266" s="149"/>
      <c r="E266" s="149"/>
      <c r="F266" s="149"/>
      <c r="G266" s="149"/>
      <c r="H266" s="149"/>
      <c r="I266" s="149"/>
      <c r="J266" s="149"/>
      <c r="K266" s="149"/>
      <c r="L266" s="149"/>
      <c r="M266" s="149"/>
      <c r="N266" s="149"/>
    </row>
    <row r="267" spans="1:14">
      <c r="A267" s="149"/>
      <c r="B267" s="149"/>
      <c r="C267" s="155"/>
      <c r="D267" s="149"/>
      <c r="E267" s="149"/>
      <c r="F267" s="149"/>
      <c r="G267" s="149"/>
      <c r="H267" s="149"/>
      <c r="I267" s="149"/>
      <c r="J267" s="149"/>
      <c r="K267" s="149"/>
      <c r="L267" s="149"/>
      <c r="M267" s="149"/>
      <c r="N267" s="149"/>
    </row>
    <row r="268" spans="1:14">
      <c r="A268" s="149"/>
      <c r="B268" s="149"/>
      <c r="C268" s="155"/>
      <c r="D268" s="149"/>
      <c r="E268" s="149"/>
      <c r="F268" s="149"/>
      <c r="G268" s="149"/>
      <c r="H268" s="149"/>
      <c r="I268" s="149"/>
      <c r="J268" s="149"/>
      <c r="K268" s="149"/>
      <c r="L268" s="149"/>
      <c r="M268" s="149"/>
      <c r="N268" s="149"/>
    </row>
    <row r="269" spans="1:14">
      <c r="A269" s="149"/>
      <c r="B269" s="149"/>
      <c r="C269" s="155"/>
      <c r="D269" s="149"/>
      <c r="E269" s="149"/>
      <c r="F269" s="149"/>
      <c r="G269" s="149"/>
      <c r="H269" s="149"/>
      <c r="I269" s="149"/>
      <c r="J269" s="149"/>
      <c r="K269" s="149"/>
      <c r="L269" s="149"/>
      <c r="M269" s="149"/>
      <c r="N269" s="149"/>
    </row>
    <row r="270" spans="1:14">
      <c r="A270" s="149"/>
      <c r="B270" s="149"/>
      <c r="C270" s="155"/>
      <c r="D270" s="149"/>
      <c r="E270" s="149"/>
      <c r="F270" s="149"/>
      <c r="G270" s="149"/>
      <c r="H270" s="149"/>
      <c r="I270" s="149"/>
      <c r="J270" s="149"/>
      <c r="K270" s="149"/>
      <c r="L270" s="149"/>
      <c r="M270" s="149"/>
      <c r="N270" s="149"/>
    </row>
    <row r="271" spans="1:14">
      <c r="A271" s="149"/>
      <c r="B271" s="149"/>
      <c r="C271" s="155"/>
      <c r="D271" s="149"/>
      <c r="E271" s="149"/>
      <c r="F271" s="149"/>
      <c r="G271" s="149"/>
      <c r="H271" s="149"/>
      <c r="I271" s="149"/>
      <c r="J271" s="149"/>
      <c r="K271" s="149"/>
      <c r="L271" s="149"/>
      <c r="M271" s="149"/>
      <c r="N271" s="149"/>
    </row>
    <row r="272" spans="1:14">
      <c r="A272" s="149"/>
      <c r="B272" s="149"/>
      <c r="C272" s="155"/>
      <c r="D272" s="149"/>
      <c r="E272" s="149"/>
      <c r="F272" s="149"/>
      <c r="G272" s="149"/>
      <c r="H272" s="149"/>
      <c r="I272" s="149"/>
      <c r="J272" s="149"/>
      <c r="K272" s="149"/>
      <c r="L272" s="149"/>
      <c r="M272" s="149"/>
      <c r="N272" s="149"/>
    </row>
    <row r="273" spans="1:14">
      <c r="A273" s="149"/>
      <c r="B273" s="149"/>
      <c r="C273" s="155"/>
      <c r="D273" s="149"/>
      <c r="E273" s="149"/>
      <c r="F273" s="149"/>
      <c r="G273" s="149"/>
      <c r="H273" s="149"/>
      <c r="I273" s="149"/>
      <c r="J273" s="149"/>
      <c r="K273" s="149"/>
      <c r="L273" s="149"/>
      <c r="M273" s="149"/>
      <c r="N273" s="149"/>
    </row>
    <row r="274" spans="1:14">
      <c r="A274" s="149"/>
      <c r="B274" s="149"/>
      <c r="C274" s="155"/>
      <c r="D274" s="149"/>
      <c r="E274" s="149"/>
      <c r="F274" s="149"/>
      <c r="G274" s="149"/>
      <c r="H274" s="149"/>
      <c r="I274" s="149"/>
      <c r="J274" s="149"/>
      <c r="K274" s="149"/>
      <c r="L274" s="149"/>
      <c r="M274" s="149"/>
      <c r="N274" s="149"/>
    </row>
    <row r="275" spans="1:14">
      <c r="A275" s="149"/>
      <c r="B275" s="149"/>
      <c r="C275" s="155"/>
      <c r="D275" s="149"/>
      <c r="E275" s="149"/>
      <c r="F275" s="149"/>
      <c r="G275" s="149"/>
      <c r="H275" s="149"/>
      <c r="I275" s="149"/>
      <c r="J275" s="149"/>
      <c r="K275" s="149"/>
      <c r="L275" s="149"/>
      <c r="M275" s="149"/>
      <c r="N275" s="149"/>
    </row>
    <row r="276" spans="1:14">
      <c r="A276" s="149"/>
      <c r="B276" s="149"/>
      <c r="C276" s="155"/>
      <c r="D276" s="149"/>
      <c r="E276" s="149"/>
      <c r="F276" s="149"/>
      <c r="G276" s="149"/>
      <c r="H276" s="149"/>
      <c r="I276" s="149"/>
      <c r="J276" s="149"/>
      <c r="K276" s="149"/>
      <c r="L276" s="149"/>
      <c r="M276" s="149"/>
      <c r="N276" s="149"/>
    </row>
    <row r="277" spans="1:14">
      <c r="A277" s="149"/>
      <c r="B277" s="149"/>
      <c r="C277" s="155"/>
      <c r="D277" s="149"/>
      <c r="E277" s="149"/>
      <c r="F277" s="149"/>
      <c r="G277" s="149"/>
      <c r="H277" s="149"/>
      <c r="I277" s="149"/>
      <c r="J277" s="149"/>
      <c r="K277" s="149"/>
      <c r="L277" s="149"/>
      <c r="M277" s="149"/>
      <c r="N277" s="149"/>
    </row>
    <row r="278" spans="1:14">
      <c r="A278" s="149"/>
      <c r="B278" s="149"/>
      <c r="C278" s="155"/>
      <c r="D278" s="149"/>
      <c r="E278" s="149"/>
      <c r="F278" s="149"/>
      <c r="G278" s="149"/>
      <c r="H278" s="149"/>
      <c r="I278" s="149"/>
      <c r="J278" s="149"/>
      <c r="K278" s="149"/>
      <c r="L278" s="149"/>
      <c r="M278" s="149"/>
      <c r="N278" s="149"/>
    </row>
    <row r="279" spans="1:14">
      <c r="A279" s="149"/>
      <c r="B279" s="149"/>
      <c r="C279" s="155"/>
      <c r="D279" s="149"/>
      <c r="E279" s="149"/>
      <c r="F279" s="149"/>
      <c r="G279" s="149"/>
      <c r="H279" s="149"/>
      <c r="I279" s="149"/>
      <c r="J279" s="149"/>
      <c r="K279" s="149"/>
      <c r="L279" s="149"/>
      <c r="M279" s="149"/>
      <c r="N279" s="149"/>
    </row>
    <row r="280" spans="1:14">
      <c r="A280" s="149"/>
      <c r="B280" s="149"/>
      <c r="C280" s="155"/>
      <c r="D280" s="149"/>
      <c r="E280" s="149"/>
      <c r="F280" s="149"/>
      <c r="G280" s="149"/>
      <c r="H280" s="149"/>
      <c r="I280" s="149"/>
      <c r="J280" s="149"/>
      <c r="K280" s="149"/>
      <c r="L280" s="149"/>
      <c r="M280" s="149"/>
      <c r="N280" s="149"/>
    </row>
    <row r="281" spans="1:14">
      <c r="A281" s="149"/>
      <c r="B281" s="149"/>
      <c r="C281" s="155"/>
      <c r="D281" s="149"/>
      <c r="E281" s="149"/>
      <c r="F281" s="149"/>
      <c r="G281" s="149"/>
      <c r="H281" s="149"/>
      <c r="I281" s="149"/>
      <c r="J281" s="149"/>
      <c r="K281" s="149"/>
      <c r="L281" s="149"/>
      <c r="M281" s="149"/>
      <c r="N281" s="149"/>
    </row>
    <row r="282" spans="1:14">
      <c r="A282" s="149"/>
      <c r="B282" s="149"/>
      <c r="C282" s="155"/>
      <c r="D282" s="149"/>
      <c r="E282" s="149"/>
      <c r="F282" s="149"/>
      <c r="G282" s="149"/>
      <c r="H282" s="149"/>
      <c r="I282" s="149"/>
      <c r="J282" s="149"/>
      <c r="K282" s="149"/>
      <c r="L282" s="149"/>
      <c r="M282" s="149"/>
      <c r="N282" s="149"/>
    </row>
    <row r="283" spans="1:14">
      <c r="A283" s="149"/>
      <c r="B283" s="149"/>
      <c r="C283" s="155"/>
      <c r="D283" s="149"/>
      <c r="E283" s="149"/>
      <c r="F283" s="149"/>
      <c r="G283" s="149"/>
      <c r="H283" s="149"/>
      <c r="I283" s="149"/>
      <c r="J283" s="149"/>
      <c r="K283" s="149"/>
      <c r="L283" s="149"/>
      <c r="M283" s="149"/>
      <c r="N283" s="149"/>
    </row>
    <row r="284" spans="1:14">
      <c r="A284" s="149"/>
      <c r="B284" s="149"/>
      <c r="C284" s="155"/>
      <c r="D284" s="149"/>
      <c r="E284" s="149"/>
      <c r="F284" s="149"/>
      <c r="G284" s="149"/>
      <c r="H284" s="149"/>
      <c r="I284" s="149"/>
      <c r="J284" s="149"/>
      <c r="K284" s="149"/>
      <c r="L284" s="149"/>
      <c r="M284" s="149"/>
      <c r="N284" s="149"/>
    </row>
    <row r="285" spans="1:14">
      <c r="A285" s="149"/>
      <c r="B285" s="149"/>
      <c r="C285" s="155"/>
      <c r="D285" s="149"/>
      <c r="E285" s="149"/>
      <c r="F285" s="149"/>
      <c r="G285" s="149"/>
      <c r="H285" s="149"/>
      <c r="I285" s="149"/>
      <c r="J285" s="149"/>
      <c r="K285" s="149"/>
      <c r="L285" s="149"/>
      <c r="M285" s="149"/>
      <c r="N285" s="149"/>
    </row>
    <row r="286" spans="1:14">
      <c r="A286" s="149"/>
      <c r="B286" s="149"/>
      <c r="C286" s="155"/>
      <c r="D286" s="149"/>
      <c r="E286" s="149"/>
      <c r="F286" s="149"/>
      <c r="G286" s="149"/>
      <c r="H286" s="149"/>
      <c r="I286" s="149"/>
      <c r="J286" s="149"/>
      <c r="K286" s="149"/>
      <c r="L286" s="149"/>
      <c r="M286" s="149"/>
      <c r="N286" s="149"/>
    </row>
    <row r="287" spans="1:14">
      <c r="A287" s="149"/>
      <c r="B287" s="149"/>
      <c r="C287" s="155"/>
      <c r="D287" s="149"/>
      <c r="E287" s="149"/>
      <c r="F287" s="149"/>
      <c r="G287" s="149"/>
      <c r="H287" s="149"/>
      <c r="I287" s="149"/>
      <c r="J287" s="149"/>
      <c r="K287" s="149"/>
      <c r="L287" s="149"/>
      <c r="M287" s="149"/>
      <c r="N287" s="149"/>
    </row>
    <row r="288" spans="1:14">
      <c r="A288" s="149"/>
      <c r="B288" s="149"/>
      <c r="C288" s="155"/>
      <c r="D288" s="149"/>
      <c r="E288" s="149"/>
      <c r="F288" s="149"/>
      <c r="G288" s="149"/>
      <c r="H288" s="149"/>
      <c r="I288" s="149"/>
      <c r="J288" s="149"/>
      <c r="K288" s="149"/>
      <c r="L288" s="149"/>
      <c r="M288" s="149"/>
      <c r="N288" s="149"/>
    </row>
    <row r="289" spans="1:14">
      <c r="A289" s="149"/>
      <c r="B289" s="149"/>
      <c r="C289" s="155"/>
      <c r="D289" s="149"/>
      <c r="E289" s="149"/>
      <c r="F289" s="149"/>
      <c r="G289" s="149"/>
      <c r="H289" s="149"/>
      <c r="I289" s="149"/>
      <c r="J289" s="149"/>
      <c r="K289" s="149"/>
      <c r="L289" s="149"/>
      <c r="M289" s="149"/>
      <c r="N289" s="149"/>
    </row>
    <row r="290" spans="1:14">
      <c r="A290" s="149"/>
      <c r="B290" s="149"/>
      <c r="C290" s="155"/>
      <c r="D290" s="149"/>
      <c r="E290" s="149"/>
      <c r="F290" s="149"/>
      <c r="G290" s="149"/>
      <c r="H290" s="149"/>
      <c r="I290" s="149"/>
      <c r="J290" s="149"/>
      <c r="K290" s="149"/>
      <c r="L290" s="149"/>
      <c r="M290" s="149"/>
      <c r="N290" s="149"/>
    </row>
    <row r="291" spans="1:14">
      <c r="A291" s="149"/>
      <c r="B291" s="149"/>
      <c r="C291" s="155"/>
      <c r="D291" s="149"/>
      <c r="E291" s="149"/>
      <c r="F291" s="149"/>
      <c r="G291" s="149"/>
      <c r="H291" s="149"/>
      <c r="I291" s="149"/>
      <c r="J291" s="149"/>
      <c r="K291" s="149"/>
      <c r="L291" s="149"/>
      <c r="M291" s="149"/>
      <c r="N291" s="149"/>
    </row>
    <row r="292" spans="1:14">
      <c r="A292" s="149"/>
      <c r="B292" s="149"/>
      <c r="C292" s="155"/>
      <c r="D292" s="149"/>
      <c r="E292" s="149"/>
      <c r="F292" s="149"/>
      <c r="G292" s="149"/>
      <c r="H292" s="149"/>
      <c r="I292" s="149"/>
      <c r="J292" s="149"/>
      <c r="K292" s="149"/>
      <c r="L292" s="149"/>
      <c r="M292" s="149"/>
      <c r="N292" s="149"/>
    </row>
    <row r="293" spans="1:14">
      <c r="A293" s="149"/>
      <c r="B293" s="149"/>
      <c r="C293" s="155"/>
      <c r="D293" s="149"/>
      <c r="E293" s="149"/>
      <c r="F293" s="149"/>
      <c r="G293" s="149"/>
      <c r="H293" s="149"/>
      <c r="I293" s="149"/>
      <c r="J293" s="149"/>
      <c r="K293" s="149"/>
      <c r="L293" s="149"/>
      <c r="M293" s="149"/>
      <c r="N293" s="149"/>
    </row>
    <row r="294" spans="1:14">
      <c r="A294" s="149"/>
      <c r="B294" s="149"/>
      <c r="C294" s="155"/>
      <c r="D294" s="149"/>
      <c r="E294" s="149"/>
      <c r="F294" s="149"/>
      <c r="G294" s="149"/>
      <c r="H294" s="149"/>
      <c r="I294" s="149"/>
      <c r="J294" s="149"/>
      <c r="K294" s="149"/>
      <c r="L294" s="149"/>
      <c r="M294" s="149"/>
      <c r="N294" s="149"/>
    </row>
    <row r="295" spans="1:14">
      <c r="A295" s="149"/>
      <c r="B295" s="149"/>
      <c r="C295" s="155"/>
      <c r="D295" s="149"/>
      <c r="E295" s="149"/>
      <c r="F295" s="149"/>
      <c r="G295" s="149"/>
      <c r="H295" s="149"/>
      <c r="I295" s="149"/>
      <c r="J295" s="149"/>
      <c r="K295" s="149"/>
      <c r="L295" s="149"/>
      <c r="M295" s="149"/>
      <c r="N295" s="149"/>
    </row>
    <row r="296" spans="1:14">
      <c r="A296" s="149"/>
      <c r="B296" s="149"/>
      <c r="C296" s="155"/>
      <c r="D296" s="149"/>
      <c r="E296" s="149"/>
      <c r="F296" s="149"/>
      <c r="G296" s="149"/>
      <c r="H296" s="149"/>
      <c r="I296" s="149"/>
      <c r="J296" s="149"/>
      <c r="K296" s="149"/>
      <c r="L296" s="149"/>
      <c r="M296" s="149"/>
      <c r="N296" s="149"/>
    </row>
    <row r="297" spans="1:14">
      <c r="A297" s="149"/>
      <c r="B297" s="149"/>
      <c r="C297" s="155"/>
      <c r="D297" s="149"/>
      <c r="E297" s="149"/>
      <c r="F297" s="149"/>
      <c r="G297" s="149"/>
      <c r="H297" s="149"/>
      <c r="I297" s="149"/>
      <c r="J297" s="149"/>
      <c r="K297" s="149"/>
      <c r="L297" s="149"/>
      <c r="M297" s="149"/>
      <c r="N297" s="149"/>
    </row>
    <row r="298" spans="1:14">
      <c r="A298" s="149"/>
      <c r="B298" s="149"/>
      <c r="C298" s="155"/>
      <c r="D298" s="149"/>
      <c r="E298" s="149"/>
      <c r="F298" s="149"/>
      <c r="G298" s="149"/>
      <c r="H298" s="149"/>
      <c r="I298" s="149"/>
      <c r="J298" s="149"/>
      <c r="K298" s="149"/>
      <c r="L298" s="149"/>
      <c r="M298" s="149"/>
      <c r="N298" s="149"/>
    </row>
    <row r="299" spans="1:14">
      <c r="A299" s="149"/>
      <c r="B299" s="149"/>
      <c r="C299" s="155"/>
      <c r="D299" s="149"/>
      <c r="E299" s="149"/>
      <c r="F299" s="149"/>
      <c r="G299" s="149"/>
      <c r="H299" s="149"/>
      <c r="I299" s="149"/>
      <c r="J299" s="149"/>
      <c r="K299" s="149"/>
      <c r="L299" s="149"/>
      <c r="M299" s="149"/>
      <c r="N299" s="149"/>
    </row>
    <row r="300" spans="1:14">
      <c r="A300" s="149"/>
      <c r="B300" s="149"/>
      <c r="C300" s="155"/>
      <c r="D300" s="149"/>
      <c r="E300" s="149"/>
      <c r="F300" s="149"/>
      <c r="G300" s="149"/>
      <c r="H300" s="149"/>
      <c r="I300" s="149"/>
      <c r="J300" s="149"/>
      <c r="K300" s="149"/>
      <c r="L300" s="149"/>
      <c r="M300" s="149"/>
      <c r="N300" s="149"/>
    </row>
    <row r="301" spans="1:14">
      <c r="A301" s="149"/>
      <c r="B301" s="149"/>
      <c r="C301" s="155"/>
      <c r="D301" s="149"/>
      <c r="E301" s="149"/>
      <c r="F301" s="149"/>
      <c r="G301" s="149"/>
      <c r="H301" s="149"/>
      <c r="I301" s="149"/>
      <c r="J301" s="149"/>
      <c r="K301" s="149"/>
      <c r="L301" s="149"/>
      <c r="M301" s="149"/>
      <c r="N301" s="149"/>
    </row>
    <row r="302" spans="1:14">
      <c r="A302" s="149"/>
      <c r="B302" s="149"/>
      <c r="C302" s="155"/>
      <c r="D302" s="149"/>
      <c r="E302" s="149"/>
      <c r="F302" s="149"/>
      <c r="G302" s="149"/>
      <c r="H302" s="149"/>
      <c r="I302" s="149"/>
      <c r="J302" s="149"/>
      <c r="K302" s="149"/>
      <c r="L302" s="149"/>
      <c r="M302" s="149"/>
      <c r="N302" s="149"/>
    </row>
    <row r="303" spans="1:14">
      <c r="A303" s="149"/>
      <c r="B303" s="149"/>
      <c r="C303" s="155"/>
      <c r="D303" s="149"/>
      <c r="E303" s="149"/>
      <c r="F303" s="149"/>
      <c r="G303" s="149"/>
      <c r="H303" s="149"/>
      <c r="I303" s="149"/>
      <c r="J303" s="149"/>
      <c r="K303" s="149"/>
      <c r="L303" s="149"/>
      <c r="M303" s="149"/>
      <c r="N303" s="149"/>
    </row>
    <row r="304" spans="1:14">
      <c r="A304" s="149"/>
      <c r="B304" s="149"/>
      <c r="C304" s="155"/>
      <c r="D304" s="149"/>
      <c r="E304" s="149"/>
      <c r="F304" s="149"/>
      <c r="G304" s="149"/>
      <c r="H304" s="149"/>
      <c r="I304" s="149"/>
      <c r="J304" s="149"/>
      <c r="K304" s="149"/>
      <c r="L304" s="149"/>
      <c r="M304" s="149"/>
      <c r="N304" s="149"/>
    </row>
    <row r="305" spans="1:14">
      <c r="A305" s="149"/>
      <c r="B305" s="149"/>
      <c r="C305" s="155"/>
      <c r="D305" s="149"/>
      <c r="E305" s="149"/>
      <c r="F305" s="149"/>
      <c r="G305" s="149"/>
      <c r="H305" s="149"/>
      <c r="I305" s="149"/>
      <c r="J305" s="149"/>
      <c r="K305" s="149"/>
      <c r="L305" s="149"/>
      <c r="M305" s="149"/>
      <c r="N305" s="149"/>
    </row>
    <row r="306" spans="1:14">
      <c r="A306" s="149"/>
      <c r="B306" s="149"/>
      <c r="C306" s="155"/>
      <c r="D306" s="149"/>
      <c r="E306" s="149"/>
      <c r="F306" s="149"/>
      <c r="G306" s="149"/>
      <c r="H306" s="149"/>
      <c r="I306" s="149"/>
      <c r="J306" s="149"/>
      <c r="K306" s="149"/>
      <c r="L306" s="149"/>
      <c r="M306" s="149"/>
      <c r="N306" s="149"/>
    </row>
    <row r="307" spans="1:14">
      <c r="A307" s="149"/>
      <c r="B307" s="149"/>
      <c r="C307" s="155"/>
      <c r="D307" s="149"/>
      <c r="E307" s="149"/>
      <c r="F307" s="149"/>
      <c r="G307" s="149"/>
      <c r="H307" s="149"/>
      <c r="I307" s="149"/>
      <c r="J307" s="149"/>
      <c r="K307" s="149"/>
      <c r="L307" s="149"/>
      <c r="M307" s="149"/>
      <c r="N307" s="149"/>
    </row>
    <row r="308" spans="1:14">
      <c r="A308" s="149"/>
      <c r="B308" s="149"/>
      <c r="C308" s="155"/>
      <c r="D308" s="149"/>
      <c r="E308" s="149"/>
      <c r="F308" s="149"/>
      <c r="G308" s="149"/>
      <c r="H308" s="149"/>
      <c r="I308" s="149"/>
      <c r="J308" s="149"/>
      <c r="K308" s="149"/>
      <c r="L308" s="149"/>
      <c r="M308" s="149"/>
      <c r="N308" s="149"/>
    </row>
    <row r="309" spans="1:14">
      <c r="A309" s="149"/>
      <c r="B309" s="149"/>
      <c r="C309" s="155"/>
      <c r="D309" s="149"/>
      <c r="E309" s="149"/>
      <c r="F309" s="149"/>
      <c r="G309" s="149"/>
      <c r="H309" s="149"/>
      <c r="I309" s="149"/>
      <c r="J309" s="149"/>
      <c r="K309" s="149"/>
      <c r="L309" s="149"/>
      <c r="M309" s="149"/>
      <c r="N309" s="149"/>
    </row>
    <row r="310" spans="1:14">
      <c r="A310" s="149"/>
      <c r="B310" s="149"/>
      <c r="C310" s="155"/>
      <c r="D310" s="149"/>
      <c r="E310" s="149"/>
      <c r="F310" s="149"/>
      <c r="G310" s="149"/>
      <c r="H310" s="149"/>
      <c r="I310" s="149"/>
      <c r="J310" s="149"/>
      <c r="K310" s="149"/>
      <c r="L310" s="149"/>
      <c r="M310" s="149"/>
      <c r="N310" s="149"/>
    </row>
    <row r="311" spans="1:14">
      <c r="A311" s="149"/>
      <c r="B311" s="149"/>
      <c r="C311" s="155"/>
      <c r="D311" s="149"/>
      <c r="E311" s="149"/>
      <c r="F311" s="149"/>
      <c r="G311" s="149"/>
      <c r="H311" s="149"/>
      <c r="I311" s="149"/>
      <c r="J311" s="149"/>
      <c r="K311" s="149"/>
      <c r="L311" s="149"/>
      <c r="M311" s="149"/>
      <c r="N311" s="149"/>
    </row>
    <row r="312" spans="1:14">
      <c r="A312" s="149"/>
      <c r="B312" s="149"/>
      <c r="C312" s="155"/>
      <c r="D312" s="149"/>
      <c r="E312" s="149"/>
      <c r="F312" s="149"/>
      <c r="G312" s="149"/>
      <c r="H312" s="149"/>
      <c r="I312" s="149"/>
      <c r="J312" s="149"/>
      <c r="K312" s="149"/>
      <c r="L312" s="149"/>
      <c r="M312" s="149"/>
      <c r="N312" s="149"/>
    </row>
    <row r="313" spans="1:14">
      <c r="A313" s="149"/>
      <c r="B313" s="149"/>
      <c r="C313" s="155"/>
      <c r="D313" s="149"/>
      <c r="E313" s="149"/>
      <c r="F313" s="149"/>
      <c r="G313" s="149"/>
      <c r="H313" s="149"/>
      <c r="I313" s="149"/>
      <c r="J313" s="149"/>
      <c r="K313" s="149"/>
      <c r="L313" s="149"/>
      <c r="M313" s="149"/>
      <c r="N313" s="149"/>
    </row>
    <row r="314" spans="1:14">
      <c r="A314" s="149"/>
      <c r="B314" s="149"/>
      <c r="C314" s="155"/>
      <c r="D314" s="149"/>
      <c r="E314" s="149"/>
      <c r="F314" s="149"/>
      <c r="G314" s="149"/>
      <c r="H314" s="149"/>
      <c r="I314" s="149"/>
      <c r="J314" s="149"/>
      <c r="K314" s="149"/>
      <c r="L314" s="149"/>
      <c r="M314" s="149"/>
      <c r="N314" s="149"/>
    </row>
    <row r="315" spans="1:14">
      <c r="A315" s="149"/>
      <c r="B315" s="149"/>
      <c r="C315" s="155"/>
      <c r="D315" s="149"/>
      <c r="E315" s="149"/>
      <c r="F315" s="149"/>
      <c r="G315" s="149"/>
      <c r="H315" s="149"/>
      <c r="I315" s="149"/>
      <c r="J315" s="149"/>
      <c r="K315" s="149"/>
      <c r="L315" s="149"/>
      <c r="M315" s="149"/>
      <c r="N315" s="149"/>
    </row>
    <row r="316" spans="1:14">
      <c r="A316" s="149"/>
      <c r="B316" s="149"/>
      <c r="C316" s="155"/>
      <c r="D316" s="149"/>
      <c r="E316" s="149"/>
      <c r="F316" s="149"/>
      <c r="G316" s="149"/>
      <c r="H316" s="149"/>
      <c r="I316" s="149"/>
      <c r="J316" s="149"/>
      <c r="K316" s="149"/>
      <c r="L316" s="149"/>
      <c r="M316" s="149"/>
      <c r="N316" s="149"/>
    </row>
    <row r="317" spans="1:14">
      <c r="A317" s="149"/>
      <c r="B317" s="149"/>
      <c r="C317" s="155"/>
      <c r="D317" s="149"/>
      <c r="E317" s="149"/>
      <c r="F317" s="149"/>
      <c r="G317" s="149"/>
      <c r="H317" s="149"/>
      <c r="I317" s="149"/>
      <c r="J317" s="149"/>
      <c r="K317" s="149"/>
      <c r="L317" s="149"/>
      <c r="M317" s="149"/>
      <c r="N317" s="149"/>
    </row>
    <row r="318" spans="1:14">
      <c r="A318" s="149"/>
      <c r="B318" s="149"/>
      <c r="C318" s="155"/>
      <c r="D318" s="149"/>
      <c r="E318" s="149"/>
      <c r="F318" s="149"/>
      <c r="G318" s="149"/>
      <c r="H318" s="149"/>
      <c r="I318" s="149"/>
      <c r="J318" s="149"/>
      <c r="K318" s="149"/>
      <c r="L318" s="149"/>
      <c r="M318" s="149"/>
      <c r="N318" s="149"/>
    </row>
    <row r="319" spans="1:14">
      <c r="A319" s="149"/>
      <c r="B319" s="149"/>
      <c r="C319" s="155"/>
      <c r="D319" s="149"/>
      <c r="E319" s="149"/>
      <c r="F319" s="149"/>
      <c r="G319" s="149"/>
      <c r="H319" s="149"/>
      <c r="I319" s="149"/>
      <c r="J319" s="149"/>
      <c r="K319" s="149"/>
      <c r="L319" s="149"/>
      <c r="M319" s="149"/>
      <c r="N319" s="149"/>
    </row>
    <row r="320" spans="1:14">
      <c r="A320" s="149"/>
      <c r="B320" s="149"/>
      <c r="C320" s="155"/>
      <c r="D320" s="149"/>
      <c r="E320" s="149"/>
      <c r="F320" s="149"/>
      <c r="G320" s="149"/>
      <c r="H320" s="149"/>
      <c r="I320" s="149"/>
      <c r="J320" s="149"/>
      <c r="K320" s="149"/>
      <c r="L320" s="149"/>
      <c r="M320" s="149"/>
      <c r="N320" s="149"/>
    </row>
    <row r="321" spans="1:14">
      <c r="A321" s="149"/>
      <c r="B321" s="149"/>
      <c r="C321" s="155"/>
      <c r="D321" s="149"/>
      <c r="E321" s="149"/>
      <c r="F321" s="149"/>
      <c r="G321" s="149"/>
      <c r="H321" s="149"/>
      <c r="I321" s="149"/>
      <c r="J321" s="149"/>
      <c r="K321" s="149"/>
      <c r="L321" s="149"/>
      <c r="M321" s="149"/>
      <c r="N321" s="149"/>
    </row>
    <row r="322" spans="1:14">
      <c r="A322" s="149"/>
      <c r="B322" s="149"/>
      <c r="C322" s="155"/>
      <c r="D322" s="149"/>
      <c r="E322" s="149"/>
      <c r="F322" s="149"/>
      <c r="G322" s="149"/>
      <c r="H322" s="149"/>
      <c r="I322" s="149"/>
      <c r="J322" s="149"/>
      <c r="K322" s="149"/>
      <c r="L322" s="149"/>
      <c r="M322" s="149"/>
      <c r="N322" s="149"/>
    </row>
    <row r="323" spans="1:14">
      <c r="A323" s="149"/>
      <c r="B323" s="149"/>
      <c r="C323" s="155"/>
      <c r="D323" s="149"/>
      <c r="E323" s="149"/>
      <c r="F323" s="149"/>
      <c r="G323" s="149"/>
      <c r="H323" s="149"/>
      <c r="I323" s="149"/>
      <c r="J323" s="149"/>
      <c r="K323" s="149"/>
      <c r="L323" s="149"/>
      <c r="M323" s="149"/>
      <c r="N323" s="149"/>
    </row>
    <row r="324" spans="1:14">
      <c r="A324" s="149"/>
      <c r="B324" s="149"/>
      <c r="C324" s="155"/>
      <c r="D324" s="149"/>
      <c r="E324" s="149"/>
      <c r="F324" s="149"/>
      <c r="G324" s="149"/>
      <c r="H324" s="149"/>
      <c r="I324" s="149"/>
      <c r="J324" s="149"/>
      <c r="K324" s="149"/>
      <c r="L324" s="149"/>
      <c r="M324" s="149"/>
      <c r="N324" s="149"/>
    </row>
    <row r="325" spans="1:14">
      <c r="A325" s="149"/>
      <c r="B325" s="149"/>
      <c r="C325" s="155"/>
      <c r="D325" s="149"/>
      <c r="E325" s="149"/>
      <c r="F325" s="149"/>
      <c r="G325" s="149"/>
      <c r="H325" s="149"/>
      <c r="I325" s="149"/>
      <c r="J325" s="149"/>
      <c r="K325" s="149"/>
      <c r="L325" s="149"/>
      <c r="M325" s="149"/>
      <c r="N325" s="149"/>
    </row>
    <row r="326" spans="1:14">
      <c r="A326" s="149"/>
      <c r="B326" s="149"/>
      <c r="C326" s="155"/>
      <c r="D326" s="149"/>
      <c r="E326" s="149"/>
      <c r="F326" s="149"/>
      <c r="G326" s="149"/>
      <c r="H326" s="149"/>
      <c r="I326" s="149"/>
      <c r="J326" s="149"/>
      <c r="K326" s="149"/>
      <c r="L326" s="149"/>
      <c r="M326" s="149"/>
      <c r="N326" s="149"/>
    </row>
    <row r="327" spans="1:14">
      <c r="A327" s="149"/>
      <c r="B327" s="149"/>
      <c r="C327" s="155"/>
      <c r="D327" s="149"/>
      <c r="E327" s="149"/>
      <c r="F327" s="149"/>
      <c r="G327" s="149"/>
      <c r="H327" s="149"/>
      <c r="I327" s="149"/>
      <c r="J327" s="149"/>
      <c r="K327" s="149"/>
      <c r="L327" s="149"/>
      <c r="M327" s="149"/>
      <c r="N327" s="149"/>
    </row>
    <row r="328" spans="1:14">
      <c r="A328" s="149"/>
      <c r="B328" s="149"/>
      <c r="C328" s="155"/>
      <c r="D328" s="149"/>
      <c r="E328" s="149"/>
      <c r="F328" s="149"/>
      <c r="G328" s="149"/>
      <c r="H328" s="149"/>
      <c r="I328" s="149"/>
      <c r="J328" s="149"/>
      <c r="K328" s="149"/>
      <c r="L328" s="149"/>
      <c r="M328" s="149"/>
      <c r="N328" s="149"/>
    </row>
    <row r="329" spans="1:14">
      <c r="A329" s="149"/>
      <c r="B329" s="149"/>
      <c r="C329" s="155"/>
      <c r="D329" s="149"/>
      <c r="E329" s="149"/>
      <c r="F329" s="149"/>
      <c r="G329" s="149"/>
      <c r="H329" s="149"/>
      <c r="I329" s="149"/>
      <c r="J329" s="149"/>
      <c r="K329" s="149"/>
      <c r="L329" s="149"/>
      <c r="M329" s="149"/>
      <c r="N329" s="149"/>
    </row>
    <row r="330" spans="1:14">
      <c r="A330" s="149"/>
      <c r="B330" s="149"/>
      <c r="C330" s="155"/>
      <c r="D330" s="149"/>
      <c r="E330" s="149"/>
      <c r="F330" s="149"/>
      <c r="G330" s="149"/>
      <c r="H330" s="149"/>
      <c r="I330" s="149"/>
      <c r="J330" s="149"/>
      <c r="K330" s="149"/>
      <c r="L330" s="149"/>
      <c r="M330" s="149"/>
      <c r="N330" s="149"/>
    </row>
    <row r="331" spans="1:14">
      <c r="A331" s="149"/>
      <c r="B331" s="149"/>
      <c r="C331" s="155"/>
      <c r="D331" s="149"/>
      <c r="E331" s="149"/>
      <c r="F331" s="149"/>
      <c r="G331" s="149"/>
      <c r="H331" s="149"/>
      <c r="I331" s="149"/>
      <c r="J331" s="149"/>
      <c r="K331" s="149"/>
      <c r="L331" s="149"/>
      <c r="M331" s="149"/>
      <c r="N331" s="149"/>
    </row>
    <row r="332" spans="1:14">
      <c r="A332" s="149"/>
      <c r="B332" s="149"/>
      <c r="C332" s="155"/>
      <c r="D332" s="149"/>
      <c r="E332" s="149"/>
      <c r="F332" s="149"/>
      <c r="G332" s="149"/>
      <c r="H332" s="149"/>
      <c r="I332" s="149"/>
      <c r="J332" s="149"/>
      <c r="K332" s="149"/>
      <c r="L332" s="149"/>
      <c r="M332" s="149"/>
      <c r="N332" s="149"/>
    </row>
    <row r="333" spans="1:14">
      <c r="A333" s="149"/>
      <c r="B333" s="149"/>
      <c r="C333" s="155"/>
      <c r="D333" s="149"/>
      <c r="E333" s="149"/>
      <c r="F333" s="149"/>
      <c r="G333" s="149"/>
      <c r="H333" s="149"/>
      <c r="I333" s="149"/>
      <c r="J333" s="149"/>
      <c r="K333" s="149"/>
      <c r="L333" s="149"/>
      <c r="M333" s="149"/>
      <c r="N333" s="149"/>
    </row>
    <row r="334" spans="1:14">
      <c r="A334" s="149"/>
      <c r="B334" s="149"/>
      <c r="C334" s="155"/>
      <c r="D334" s="149"/>
      <c r="E334" s="149"/>
      <c r="F334" s="149"/>
      <c r="G334" s="149"/>
      <c r="H334" s="149"/>
      <c r="I334" s="149"/>
      <c r="J334" s="149"/>
      <c r="K334" s="149"/>
      <c r="L334" s="149"/>
      <c r="M334" s="149"/>
      <c r="N334" s="149"/>
    </row>
    <row r="335" spans="1:14">
      <c r="A335" s="149"/>
      <c r="B335" s="149"/>
      <c r="C335" s="155"/>
      <c r="D335" s="149"/>
      <c r="E335" s="149"/>
      <c r="F335" s="149"/>
      <c r="G335" s="149"/>
      <c r="H335" s="149"/>
      <c r="I335" s="149"/>
      <c r="J335" s="149"/>
      <c r="K335" s="149"/>
      <c r="L335" s="149"/>
      <c r="M335" s="149"/>
      <c r="N335" s="149"/>
    </row>
    <row r="336" spans="1:14">
      <c r="A336" s="149"/>
      <c r="B336" s="149"/>
      <c r="C336" s="155"/>
      <c r="D336" s="149"/>
      <c r="E336" s="149"/>
      <c r="F336" s="149"/>
      <c r="G336" s="149"/>
      <c r="H336" s="149"/>
      <c r="I336" s="149"/>
      <c r="J336" s="149"/>
      <c r="K336" s="149"/>
      <c r="L336" s="149"/>
      <c r="M336" s="149"/>
      <c r="N336" s="149"/>
    </row>
    <row r="337" spans="1:14">
      <c r="A337" s="149"/>
      <c r="B337" s="149"/>
      <c r="C337" s="155"/>
      <c r="D337" s="149"/>
      <c r="E337" s="149"/>
      <c r="F337" s="149"/>
      <c r="G337" s="149"/>
      <c r="H337" s="149"/>
      <c r="I337" s="149"/>
      <c r="J337" s="149"/>
      <c r="K337" s="149"/>
      <c r="L337" s="149"/>
      <c r="M337" s="149"/>
      <c r="N337" s="149"/>
    </row>
    <row r="338" spans="1:14">
      <c r="A338" s="149"/>
      <c r="B338" s="149"/>
      <c r="C338" s="155"/>
      <c r="D338" s="149"/>
      <c r="E338" s="149"/>
      <c r="F338" s="149"/>
      <c r="G338" s="149"/>
      <c r="H338" s="149"/>
      <c r="I338" s="149"/>
      <c r="J338" s="149"/>
      <c r="K338" s="149"/>
      <c r="L338" s="149"/>
      <c r="M338" s="149"/>
      <c r="N338" s="149"/>
    </row>
    <row r="339" spans="1:14">
      <c r="A339" s="149"/>
      <c r="B339" s="149"/>
      <c r="C339" s="155"/>
      <c r="D339" s="149"/>
      <c r="E339" s="149"/>
      <c r="F339" s="149"/>
      <c r="G339" s="149"/>
      <c r="H339" s="149"/>
      <c r="I339" s="149"/>
      <c r="J339" s="149"/>
      <c r="K339" s="149"/>
      <c r="L339" s="149"/>
      <c r="M339" s="149"/>
      <c r="N339" s="149"/>
    </row>
    <row r="340" spans="1:14">
      <c r="A340" s="149"/>
      <c r="B340" s="149"/>
      <c r="C340" s="155"/>
      <c r="D340" s="149"/>
      <c r="E340" s="149"/>
      <c r="F340" s="149"/>
      <c r="G340" s="149"/>
      <c r="H340" s="149"/>
      <c r="I340" s="149"/>
      <c r="J340" s="149"/>
      <c r="K340" s="149"/>
      <c r="L340" s="149"/>
      <c r="M340" s="149"/>
      <c r="N340" s="149"/>
    </row>
    <row r="341" spans="1:14">
      <c r="A341" s="149"/>
      <c r="B341" s="149"/>
      <c r="C341" s="155"/>
      <c r="D341" s="149"/>
      <c r="E341" s="149"/>
      <c r="F341" s="149"/>
      <c r="G341" s="149"/>
      <c r="H341" s="149"/>
      <c r="I341" s="149"/>
      <c r="J341" s="149"/>
      <c r="K341" s="149"/>
      <c r="L341" s="149"/>
      <c r="M341" s="149"/>
      <c r="N341" s="149"/>
    </row>
    <row r="342" spans="1:14">
      <c r="A342" s="149"/>
      <c r="B342" s="149"/>
      <c r="C342" s="155"/>
      <c r="D342" s="149"/>
      <c r="E342" s="149"/>
      <c r="F342" s="149"/>
      <c r="G342" s="149"/>
      <c r="H342" s="149"/>
      <c r="I342" s="149"/>
      <c r="J342" s="149"/>
      <c r="K342" s="149"/>
      <c r="L342" s="149"/>
      <c r="M342" s="149"/>
      <c r="N342" s="149"/>
    </row>
    <row r="343" spans="1:14">
      <c r="A343" s="149"/>
      <c r="B343" s="149"/>
      <c r="C343" s="155"/>
      <c r="D343" s="149"/>
      <c r="E343" s="149"/>
      <c r="F343" s="149"/>
      <c r="G343" s="149"/>
      <c r="H343" s="149"/>
      <c r="I343" s="149"/>
      <c r="J343" s="149"/>
      <c r="K343" s="149"/>
      <c r="L343" s="149"/>
      <c r="M343" s="149"/>
      <c r="N343" s="149"/>
    </row>
    <row r="344" spans="1:14">
      <c r="A344" s="149"/>
      <c r="B344" s="149"/>
      <c r="C344" s="155"/>
      <c r="D344" s="149"/>
      <c r="E344" s="149"/>
      <c r="F344" s="149"/>
      <c r="G344" s="149"/>
      <c r="H344" s="149"/>
      <c r="I344" s="149"/>
      <c r="J344" s="149"/>
      <c r="K344" s="149"/>
      <c r="L344" s="149"/>
      <c r="M344" s="149"/>
      <c r="N344" s="149"/>
    </row>
    <row r="345" spans="1:14">
      <c r="A345" s="149"/>
      <c r="B345" s="149"/>
      <c r="C345" s="155"/>
      <c r="D345" s="149"/>
      <c r="E345" s="149"/>
      <c r="F345" s="149"/>
      <c r="G345" s="149"/>
      <c r="H345" s="149"/>
      <c r="I345" s="149"/>
      <c r="J345" s="149"/>
      <c r="K345" s="149"/>
      <c r="L345" s="149"/>
      <c r="M345" s="149"/>
      <c r="N345" s="149"/>
    </row>
    <row r="346" spans="1:14">
      <c r="A346" s="149"/>
      <c r="B346" s="149"/>
      <c r="C346" s="155"/>
      <c r="D346" s="149"/>
      <c r="E346" s="149"/>
      <c r="F346" s="149"/>
      <c r="G346" s="149"/>
      <c r="H346" s="149"/>
      <c r="I346" s="149"/>
      <c r="J346" s="149"/>
      <c r="K346" s="149"/>
      <c r="L346" s="149"/>
      <c r="M346" s="149"/>
      <c r="N346" s="149"/>
    </row>
    <row r="347" spans="1:14">
      <c r="A347" s="149"/>
      <c r="B347" s="149"/>
      <c r="C347" s="155"/>
      <c r="D347" s="149"/>
      <c r="E347" s="149"/>
      <c r="F347" s="149"/>
      <c r="G347" s="149"/>
      <c r="H347" s="149"/>
      <c r="I347" s="149"/>
      <c r="J347" s="149"/>
      <c r="K347" s="149"/>
      <c r="L347" s="149"/>
      <c r="M347" s="149"/>
      <c r="N347" s="149"/>
    </row>
    <row r="348" spans="1:14">
      <c r="A348" s="149"/>
      <c r="B348" s="149"/>
      <c r="C348" s="155"/>
      <c r="D348" s="149"/>
      <c r="E348" s="149"/>
      <c r="F348" s="149"/>
      <c r="G348" s="149"/>
      <c r="H348" s="149"/>
      <c r="I348" s="149"/>
      <c r="J348" s="149"/>
      <c r="K348" s="149"/>
      <c r="L348" s="149"/>
      <c r="M348" s="149"/>
      <c r="N348" s="149"/>
    </row>
    <row r="349" spans="1:14">
      <c r="A349" s="149"/>
      <c r="B349" s="149"/>
      <c r="C349" s="155"/>
      <c r="D349" s="149"/>
      <c r="E349" s="149"/>
      <c r="F349" s="149"/>
      <c r="G349" s="149"/>
      <c r="H349" s="149"/>
      <c r="I349" s="149"/>
      <c r="J349" s="149"/>
      <c r="K349" s="149"/>
      <c r="L349" s="149"/>
      <c r="M349" s="149"/>
      <c r="N349" s="149"/>
    </row>
    <row r="350" spans="1:14">
      <c r="A350" s="149"/>
      <c r="B350" s="149"/>
      <c r="C350" s="155"/>
      <c r="D350" s="149"/>
      <c r="E350" s="149"/>
      <c r="F350" s="149"/>
      <c r="G350" s="149"/>
      <c r="H350" s="149"/>
      <c r="I350" s="149"/>
      <c r="J350" s="149"/>
      <c r="K350" s="149"/>
      <c r="L350" s="149"/>
      <c r="M350" s="149"/>
      <c r="N350" s="149"/>
    </row>
    <row r="351" spans="1:14">
      <c r="A351" s="149"/>
      <c r="B351" s="149"/>
      <c r="C351" s="155"/>
      <c r="D351" s="149"/>
      <c r="E351" s="149"/>
      <c r="F351" s="149"/>
      <c r="G351" s="149"/>
      <c r="H351" s="149"/>
      <c r="I351" s="149"/>
      <c r="J351" s="149"/>
      <c r="K351" s="149"/>
      <c r="L351" s="149"/>
      <c r="M351" s="149"/>
      <c r="N351" s="149"/>
    </row>
    <row r="352" spans="1:14">
      <c r="A352" s="149"/>
      <c r="B352" s="149"/>
      <c r="C352" s="155"/>
      <c r="D352" s="149"/>
      <c r="E352" s="149"/>
      <c r="F352" s="149"/>
      <c r="G352" s="149"/>
      <c r="H352" s="149"/>
      <c r="I352" s="149"/>
      <c r="J352" s="149"/>
      <c r="K352" s="149"/>
      <c r="L352" s="149"/>
      <c r="M352" s="149"/>
      <c r="N352" s="149"/>
    </row>
    <row r="353" spans="1:14">
      <c r="A353" s="149"/>
      <c r="B353" s="149"/>
      <c r="C353" s="155"/>
      <c r="D353" s="149"/>
      <c r="E353" s="149"/>
      <c r="F353" s="149"/>
      <c r="G353" s="149"/>
      <c r="H353" s="149"/>
      <c r="I353" s="149"/>
      <c r="J353" s="149"/>
      <c r="K353" s="149"/>
      <c r="L353" s="149"/>
      <c r="M353" s="149"/>
      <c r="N353" s="149"/>
    </row>
    <row r="354" spans="1:14">
      <c r="A354" s="149"/>
      <c r="B354" s="149"/>
      <c r="C354" s="155"/>
      <c r="D354" s="149"/>
      <c r="E354" s="149"/>
      <c r="F354" s="149"/>
      <c r="G354" s="149"/>
      <c r="H354" s="149"/>
      <c r="I354" s="149"/>
      <c r="J354" s="149"/>
      <c r="K354" s="149"/>
      <c r="L354" s="149"/>
      <c r="M354" s="149"/>
      <c r="N354" s="149"/>
    </row>
    <row r="355" spans="1:14">
      <c r="A355" s="149"/>
      <c r="B355" s="149"/>
      <c r="C355" s="155"/>
      <c r="D355" s="149"/>
      <c r="E355" s="149"/>
      <c r="F355" s="149"/>
      <c r="G355" s="149"/>
      <c r="H355" s="149"/>
      <c r="I355" s="149"/>
      <c r="J355" s="149"/>
      <c r="K355" s="149"/>
      <c r="L355" s="149"/>
      <c r="M355" s="149"/>
      <c r="N355" s="149"/>
    </row>
    <row r="356" spans="1:14">
      <c r="A356" s="149"/>
      <c r="B356" s="149"/>
      <c r="C356" s="155"/>
      <c r="D356" s="149"/>
      <c r="E356" s="149"/>
      <c r="F356" s="149"/>
      <c r="G356" s="149"/>
      <c r="H356" s="149"/>
      <c r="I356" s="149"/>
      <c r="J356" s="149"/>
      <c r="K356" s="149"/>
      <c r="L356" s="149"/>
      <c r="M356" s="149"/>
      <c r="N356" s="149"/>
    </row>
    <row r="357" spans="1:14">
      <c r="A357" s="149"/>
      <c r="B357" s="149"/>
      <c r="C357" s="155"/>
      <c r="D357" s="149"/>
      <c r="E357" s="149"/>
      <c r="F357" s="149"/>
      <c r="G357" s="149"/>
      <c r="H357" s="149"/>
      <c r="I357" s="149"/>
      <c r="J357" s="149"/>
      <c r="K357" s="149"/>
      <c r="L357" s="149"/>
      <c r="M357" s="149"/>
      <c r="N357" s="149"/>
    </row>
    <row r="358" spans="1:14">
      <c r="A358" s="149"/>
      <c r="B358" s="149"/>
      <c r="C358" s="155"/>
      <c r="D358" s="149"/>
      <c r="E358" s="149"/>
      <c r="F358" s="149"/>
      <c r="G358" s="149"/>
      <c r="H358" s="149"/>
      <c r="I358" s="149"/>
      <c r="J358" s="149"/>
      <c r="K358" s="149"/>
      <c r="L358" s="149"/>
      <c r="M358" s="149"/>
      <c r="N358" s="149"/>
    </row>
    <row r="359" spans="1:14">
      <c r="A359" s="149"/>
      <c r="B359" s="149"/>
      <c r="C359" s="155"/>
      <c r="D359" s="149"/>
      <c r="E359" s="149"/>
      <c r="F359" s="149"/>
      <c r="G359" s="149"/>
      <c r="H359" s="149"/>
      <c r="I359" s="149"/>
      <c r="J359" s="149"/>
      <c r="K359" s="149"/>
      <c r="L359" s="149"/>
      <c r="M359" s="149"/>
      <c r="N359" s="149"/>
    </row>
    <row r="360" spans="1:14">
      <c r="A360" s="149"/>
      <c r="B360" s="149"/>
      <c r="C360" s="155"/>
      <c r="D360" s="149"/>
      <c r="E360" s="149"/>
      <c r="F360" s="149"/>
      <c r="G360" s="149"/>
      <c r="H360" s="149"/>
      <c r="I360" s="149"/>
      <c r="J360" s="149"/>
      <c r="K360" s="149"/>
      <c r="L360" s="149"/>
      <c r="M360" s="149"/>
      <c r="N360" s="149"/>
    </row>
    <row r="361" spans="1:14">
      <c r="A361" s="149"/>
      <c r="B361" s="149"/>
      <c r="C361" s="155"/>
      <c r="D361" s="149"/>
      <c r="E361" s="149"/>
      <c r="F361" s="149"/>
      <c r="G361" s="149"/>
      <c r="H361" s="149"/>
      <c r="I361" s="149"/>
      <c r="J361" s="149"/>
      <c r="K361" s="149"/>
      <c r="L361" s="149"/>
      <c r="M361" s="149"/>
      <c r="N361" s="149"/>
    </row>
    <row r="362" spans="1:14">
      <c r="A362" s="149"/>
      <c r="B362" s="149"/>
      <c r="C362" s="155"/>
      <c r="D362" s="149"/>
      <c r="E362" s="149"/>
      <c r="F362" s="149"/>
      <c r="G362" s="149"/>
      <c r="H362" s="149"/>
      <c r="I362" s="149"/>
      <c r="J362" s="149"/>
      <c r="K362" s="149"/>
      <c r="L362" s="149"/>
      <c r="M362" s="149"/>
      <c r="N362" s="149"/>
    </row>
    <row r="363" spans="1:14">
      <c r="A363" s="149"/>
      <c r="B363" s="149"/>
      <c r="C363" s="155"/>
      <c r="D363" s="149"/>
      <c r="E363" s="149"/>
      <c r="F363" s="149"/>
      <c r="G363" s="149"/>
      <c r="H363" s="149"/>
      <c r="I363" s="149"/>
      <c r="J363" s="149"/>
      <c r="K363" s="149"/>
      <c r="L363" s="149"/>
      <c r="M363" s="149"/>
      <c r="N363" s="149"/>
    </row>
    <row r="364" spans="1:14">
      <c r="A364" s="149"/>
      <c r="B364" s="149"/>
      <c r="C364" s="155"/>
      <c r="D364" s="149"/>
      <c r="E364" s="149"/>
      <c r="F364" s="149"/>
      <c r="G364" s="149"/>
      <c r="H364" s="149"/>
      <c r="I364" s="149"/>
      <c r="J364" s="149"/>
      <c r="K364" s="149"/>
      <c r="L364" s="149"/>
      <c r="M364" s="149"/>
      <c r="N364" s="149"/>
    </row>
    <row r="365" spans="1:14">
      <c r="A365" s="149"/>
      <c r="B365" s="149"/>
      <c r="C365" s="155"/>
      <c r="D365" s="149"/>
      <c r="E365" s="149"/>
      <c r="F365" s="149"/>
      <c r="G365" s="149"/>
      <c r="H365" s="149"/>
      <c r="I365" s="149"/>
      <c r="J365" s="149"/>
      <c r="K365" s="149"/>
      <c r="L365" s="149"/>
      <c r="M365" s="149"/>
      <c r="N365" s="149"/>
    </row>
    <row r="366" spans="1:14">
      <c r="A366" s="149"/>
      <c r="B366" s="149"/>
      <c r="C366" s="155"/>
      <c r="D366" s="149"/>
      <c r="E366" s="149"/>
      <c r="F366" s="149"/>
      <c r="G366" s="149"/>
      <c r="H366" s="149"/>
      <c r="I366" s="149"/>
      <c r="J366" s="149"/>
      <c r="K366" s="149"/>
      <c r="L366" s="149"/>
      <c r="M366" s="149"/>
      <c r="N366" s="149"/>
    </row>
    <row r="367" spans="1:14">
      <c r="A367" s="149"/>
      <c r="B367" s="149"/>
      <c r="C367" s="155"/>
      <c r="D367" s="149"/>
      <c r="E367" s="149"/>
      <c r="F367" s="149"/>
      <c r="G367" s="149"/>
      <c r="H367" s="149"/>
      <c r="I367" s="149"/>
      <c r="J367" s="149"/>
      <c r="K367" s="149"/>
      <c r="L367" s="149"/>
      <c r="M367" s="149"/>
      <c r="N367" s="149"/>
    </row>
    <row r="368" spans="1:14">
      <c r="A368" s="149"/>
      <c r="B368" s="149"/>
      <c r="C368" s="155"/>
      <c r="D368" s="149"/>
      <c r="E368" s="149"/>
      <c r="F368" s="149"/>
      <c r="G368" s="149"/>
      <c r="H368" s="149"/>
      <c r="I368" s="149"/>
      <c r="J368" s="149"/>
      <c r="K368" s="149"/>
      <c r="L368" s="149"/>
      <c r="M368" s="149"/>
      <c r="N368" s="149"/>
    </row>
    <row r="369" spans="1:14">
      <c r="A369" s="149"/>
      <c r="B369" s="149"/>
      <c r="C369" s="155"/>
      <c r="D369" s="149"/>
      <c r="E369" s="149"/>
      <c r="F369" s="149"/>
      <c r="G369" s="149"/>
      <c r="H369" s="149"/>
      <c r="I369" s="149"/>
      <c r="J369" s="149"/>
      <c r="K369" s="149"/>
      <c r="L369" s="149"/>
      <c r="M369" s="149"/>
      <c r="N369" s="149"/>
    </row>
    <row r="370" spans="1:14">
      <c r="A370" s="149"/>
      <c r="B370" s="149"/>
      <c r="C370" s="155"/>
      <c r="D370" s="149"/>
      <c r="E370" s="149"/>
      <c r="F370" s="149"/>
      <c r="G370" s="149"/>
      <c r="H370" s="149"/>
      <c r="I370" s="149"/>
      <c r="J370" s="149"/>
      <c r="K370" s="149"/>
      <c r="L370" s="149"/>
      <c r="M370" s="149"/>
      <c r="N370" s="149"/>
    </row>
    <row r="371" spans="1:14">
      <c r="A371" s="149"/>
      <c r="B371" s="149"/>
      <c r="C371" s="155"/>
      <c r="D371" s="149"/>
      <c r="E371" s="149"/>
      <c r="F371" s="149"/>
      <c r="G371" s="149"/>
      <c r="H371" s="149"/>
      <c r="I371" s="149"/>
      <c r="J371" s="149"/>
      <c r="K371" s="149"/>
      <c r="L371" s="149"/>
      <c r="M371" s="149"/>
      <c r="N371" s="149"/>
    </row>
    <row r="372" spans="1:14">
      <c r="A372" s="149"/>
      <c r="B372" s="149"/>
      <c r="C372" s="155"/>
      <c r="D372" s="149"/>
      <c r="E372" s="149"/>
      <c r="F372" s="149"/>
      <c r="G372" s="149"/>
      <c r="H372" s="149"/>
      <c r="I372" s="149"/>
      <c r="J372" s="149"/>
      <c r="K372" s="149"/>
      <c r="L372" s="149"/>
      <c r="M372" s="149"/>
      <c r="N372" s="149"/>
    </row>
    <row r="373" spans="1:14">
      <c r="A373" s="149"/>
      <c r="B373" s="149"/>
      <c r="C373" s="155"/>
      <c r="D373" s="149"/>
      <c r="E373" s="149"/>
      <c r="F373" s="149"/>
      <c r="G373" s="149"/>
      <c r="H373" s="149"/>
      <c r="I373" s="149"/>
      <c r="J373" s="149"/>
      <c r="K373" s="149"/>
      <c r="L373" s="149"/>
      <c r="M373" s="149"/>
      <c r="N373" s="149"/>
    </row>
    <row r="374" spans="1:14">
      <c r="A374" s="149"/>
      <c r="B374" s="149"/>
      <c r="C374" s="155"/>
      <c r="D374" s="149"/>
      <c r="E374" s="149"/>
      <c r="F374" s="149"/>
      <c r="G374" s="149"/>
      <c r="H374" s="149"/>
      <c r="I374" s="149"/>
      <c r="J374" s="149"/>
      <c r="K374" s="149"/>
      <c r="L374" s="149"/>
      <c r="M374" s="149"/>
      <c r="N374" s="149"/>
    </row>
    <row r="375" spans="1:14">
      <c r="A375" s="149"/>
      <c r="B375" s="149"/>
      <c r="C375" s="155"/>
      <c r="D375" s="149"/>
      <c r="E375" s="149"/>
      <c r="F375" s="149"/>
      <c r="G375" s="149"/>
      <c r="H375" s="149"/>
      <c r="I375" s="149"/>
      <c r="J375" s="149"/>
      <c r="K375" s="149"/>
      <c r="L375" s="149"/>
      <c r="M375" s="149"/>
      <c r="N375" s="149"/>
    </row>
    <row r="376" spans="1:14">
      <c r="A376" s="149"/>
      <c r="B376" s="149"/>
      <c r="C376" s="155"/>
      <c r="D376" s="149"/>
      <c r="E376" s="149"/>
      <c r="F376" s="149"/>
      <c r="G376" s="149"/>
      <c r="H376" s="149"/>
      <c r="I376" s="149"/>
      <c r="J376" s="149"/>
      <c r="K376" s="149"/>
      <c r="L376" s="149"/>
      <c r="M376" s="149"/>
      <c r="N376" s="149"/>
    </row>
    <row r="377" spans="1:14">
      <c r="A377" s="149"/>
      <c r="B377" s="149"/>
      <c r="C377" s="155"/>
      <c r="D377" s="149"/>
      <c r="E377" s="149"/>
      <c r="F377" s="149"/>
      <c r="G377" s="149"/>
      <c r="H377" s="149"/>
      <c r="I377" s="149"/>
      <c r="J377" s="149"/>
      <c r="K377" s="149"/>
      <c r="L377" s="149"/>
      <c r="M377" s="149"/>
      <c r="N377" s="149"/>
    </row>
    <row r="378" spans="1:14">
      <c r="A378" s="149"/>
      <c r="B378" s="149"/>
      <c r="C378" s="155"/>
      <c r="D378" s="149"/>
      <c r="E378" s="149"/>
      <c r="F378" s="149"/>
      <c r="G378" s="149"/>
      <c r="H378" s="149"/>
      <c r="I378" s="149"/>
      <c r="J378" s="149"/>
      <c r="K378" s="149"/>
      <c r="L378" s="149"/>
      <c r="M378" s="149"/>
      <c r="N378" s="149"/>
    </row>
    <row r="379" spans="1:14">
      <c r="A379" s="149"/>
      <c r="B379" s="149"/>
      <c r="C379" s="155"/>
      <c r="D379" s="149"/>
      <c r="E379" s="149"/>
      <c r="F379" s="149"/>
      <c r="G379" s="149"/>
      <c r="H379" s="149"/>
      <c r="I379" s="149"/>
      <c r="J379" s="149"/>
      <c r="K379" s="149"/>
      <c r="L379" s="149"/>
      <c r="M379" s="149"/>
      <c r="N379" s="149"/>
    </row>
    <row r="380" spans="1:14">
      <c r="A380" s="149"/>
      <c r="B380" s="149"/>
      <c r="C380" s="155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</row>
    <row r="381" spans="1:14">
      <c r="A381" s="149"/>
      <c r="B381" s="149"/>
      <c r="C381" s="155"/>
      <c r="D381" s="149"/>
      <c r="E381" s="149"/>
      <c r="F381" s="149"/>
      <c r="G381" s="149"/>
      <c r="H381" s="149"/>
      <c r="I381" s="149"/>
      <c r="J381" s="149"/>
      <c r="K381" s="149"/>
      <c r="L381" s="149"/>
      <c r="M381" s="149"/>
      <c r="N381" s="149"/>
    </row>
    <row r="382" spans="1:14">
      <c r="A382" s="149"/>
      <c r="B382" s="149"/>
      <c r="C382" s="155"/>
      <c r="D382" s="149"/>
      <c r="E382" s="149"/>
      <c r="F382" s="149"/>
      <c r="G382" s="149"/>
      <c r="H382" s="149"/>
      <c r="I382" s="149"/>
      <c r="J382" s="149"/>
      <c r="K382" s="149"/>
      <c r="L382" s="149"/>
      <c r="M382" s="149"/>
      <c r="N382" s="149"/>
    </row>
    <row r="383" spans="1:14">
      <c r="A383" s="149"/>
      <c r="B383" s="149"/>
      <c r="C383" s="155"/>
      <c r="D383" s="149"/>
      <c r="E383" s="149"/>
      <c r="F383" s="149"/>
      <c r="G383" s="149"/>
      <c r="H383" s="149"/>
      <c r="I383" s="149"/>
      <c r="J383" s="149"/>
      <c r="K383" s="149"/>
      <c r="L383" s="149"/>
      <c r="M383" s="149"/>
      <c r="N383" s="149"/>
    </row>
    <row r="384" spans="1:14">
      <c r="A384" s="149"/>
      <c r="B384" s="149"/>
      <c r="C384" s="155"/>
      <c r="D384" s="149"/>
      <c r="E384" s="149"/>
      <c r="F384" s="149"/>
      <c r="G384" s="149"/>
      <c r="H384" s="149"/>
      <c r="I384" s="149"/>
      <c r="J384" s="149"/>
      <c r="K384" s="149"/>
      <c r="L384" s="149"/>
      <c r="M384" s="149"/>
      <c r="N384" s="149"/>
    </row>
    <row r="385" spans="1:14">
      <c r="A385" s="149"/>
      <c r="B385" s="149"/>
      <c r="C385" s="155"/>
      <c r="D385" s="149"/>
      <c r="E385" s="149"/>
      <c r="F385" s="149"/>
      <c r="G385" s="149"/>
      <c r="H385" s="149"/>
      <c r="I385" s="149"/>
      <c r="J385" s="149"/>
      <c r="K385" s="149"/>
      <c r="L385" s="149"/>
      <c r="M385" s="149"/>
      <c r="N385" s="149"/>
    </row>
    <row r="386" spans="1:14">
      <c r="A386" s="149"/>
      <c r="B386" s="149"/>
      <c r="C386" s="155"/>
      <c r="D386" s="149"/>
      <c r="E386" s="149"/>
      <c r="F386" s="149"/>
      <c r="G386" s="149"/>
      <c r="H386" s="149"/>
      <c r="I386" s="149"/>
      <c r="J386" s="149"/>
      <c r="K386" s="149"/>
      <c r="L386" s="149"/>
      <c r="M386" s="149"/>
      <c r="N386" s="149"/>
    </row>
    <row r="387" spans="1:14">
      <c r="A387" s="149"/>
      <c r="B387" s="149"/>
      <c r="C387" s="155"/>
      <c r="D387" s="149"/>
      <c r="E387" s="149"/>
      <c r="F387" s="149"/>
      <c r="G387" s="149"/>
      <c r="H387" s="149"/>
      <c r="I387" s="149"/>
      <c r="J387" s="149"/>
      <c r="K387" s="149"/>
      <c r="L387" s="149"/>
      <c r="M387" s="149"/>
      <c r="N387" s="149"/>
    </row>
    <row r="388" spans="1:14">
      <c r="A388" s="149"/>
      <c r="B388" s="149"/>
      <c r="C388" s="155"/>
      <c r="D388" s="149"/>
      <c r="E388" s="149"/>
      <c r="F388" s="149"/>
      <c r="G388" s="149"/>
      <c r="H388" s="149"/>
      <c r="I388" s="149"/>
      <c r="J388" s="149"/>
      <c r="K388" s="149"/>
      <c r="L388" s="149"/>
      <c r="M388" s="149"/>
      <c r="N388" s="149"/>
    </row>
    <row r="389" spans="1:14">
      <c r="A389" s="149"/>
      <c r="B389" s="149"/>
      <c r="C389" s="155"/>
      <c r="D389" s="149"/>
      <c r="E389" s="149"/>
      <c r="F389" s="149"/>
      <c r="G389" s="149"/>
      <c r="H389" s="149"/>
      <c r="I389" s="149"/>
      <c r="J389" s="149"/>
      <c r="K389" s="149"/>
      <c r="L389" s="149"/>
      <c r="M389" s="149"/>
      <c r="N389" s="149"/>
    </row>
    <row r="390" spans="1:14">
      <c r="A390" s="149"/>
      <c r="B390" s="149"/>
      <c r="C390" s="155"/>
      <c r="D390" s="149"/>
      <c r="E390" s="149"/>
      <c r="F390" s="149"/>
      <c r="G390" s="149"/>
      <c r="H390" s="149"/>
      <c r="I390" s="149"/>
      <c r="J390" s="149"/>
      <c r="K390" s="149"/>
      <c r="L390" s="149"/>
      <c r="M390" s="149"/>
      <c r="N390" s="149"/>
    </row>
    <row r="391" spans="1:14">
      <c r="A391" s="149"/>
      <c r="B391" s="149"/>
      <c r="C391" s="155"/>
      <c r="D391" s="149"/>
      <c r="E391" s="149"/>
      <c r="F391" s="149"/>
      <c r="G391" s="149"/>
      <c r="H391" s="149"/>
      <c r="I391" s="149"/>
      <c r="J391" s="149"/>
      <c r="K391" s="149"/>
      <c r="L391" s="149"/>
      <c r="M391" s="149"/>
      <c r="N391" s="149"/>
    </row>
    <row r="392" spans="1:14">
      <c r="A392" s="149"/>
      <c r="B392" s="149"/>
      <c r="C392" s="155"/>
      <c r="D392" s="149"/>
      <c r="E392" s="149"/>
      <c r="F392" s="149"/>
      <c r="G392" s="149"/>
      <c r="H392" s="149"/>
      <c r="I392" s="149"/>
      <c r="J392" s="149"/>
      <c r="K392" s="149"/>
      <c r="L392" s="149"/>
      <c r="M392" s="149"/>
      <c r="N392" s="149"/>
    </row>
    <row r="393" spans="1:14">
      <c r="A393" s="149"/>
      <c r="B393" s="149"/>
      <c r="C393" s="155"/>
      <c r="D393" s="149"/>
      <c r="E393" s="149"/>
      <c r="F393" s="149"/>
      <c r="G393" s="149"/>
      <c r="H393" s="149"/>
      <c r="I393" s="149"/>
      <c r="J393" s="149"/>
      <c r="K393" s="149"/>
      <c r="L393" s="149"/>
      <c r="M393" s="149"/>
      <c r="N393" s="149"/>
    </row>
    <row r="394" spans="1:14">
      <c r="A394" s="149"/>
      <c r="B394" s="149"/>
      <c r="C394" s="155"/>
      <c r="D394" s="149"/>
      <c r="E394" s="149"/>
      <c r="F394" s="149"/>
      <c r="G394" s="149"/>
      <c r="H394" s="149"/>
      <c r="I394" s="149"/>
      <c r="J394" s="149"/>
      <c r="K394" s="149"/>
      <c r="L394" s="149"/>
      <c r="M394" s="149"/>
      <c r="N394" s="149"/>
    </row>
    <row r="395" spans="1:14">
      <c r="A395" s="149"/>
      <c r="B395" s="149"/>
      <c r="C395" s="155"/>
      <c r="D395" s="149"/>
      <c r="E395" s="149"/>
      <c r="F395" s="149"/>
      <c r="G395" s="149"/>
      <c r="H395" s="149"/>
      <c r="I395" s="149"/>
      <c r="J395" s="149"/>
      <c r="K395" s="149"/>
      <c r="L395" s="149"/>
      <c r="M395" s="149"/>
      <c r="N395" s="149"/>
    </row>
    <row r="396" spans="1:14">
      <c r="A396" s="149"/>
      <c r="B396" s="149"/>
      <c r="C396" s="155"/>
      <c r="D396" s="149"/>
      <c r="E396" s="149"/>
      <c r="F396" s="149"/>
      <c r="G396" s="149"/>
      <c r="H396" s="149"/>
      <c r="I396" s="149"/>
      <c r="J396" s="149"/>
      <c r="K396" s="149"/>
      <c r="L396" s="149"/>
      <c r="M396" s="149"/>
      <c r="N396" s="149"/>
    </row>
    <row r="397" spans="1:14">
      <c r="A397" s="149"/>
      <c r="B397" s="149"/>
      <c r="C397" s="155"/>
      <c r="D397" s="149"/>
      <c r="E397" s="149"/>
      <c r="F397" s="149"/>
      <c r="G397" s="149"/>
      <c r="H397" s="149"/>
      <c r="I397" s="149"/>
      <c r="J397" s="149"/>
      <c r="K397" s="149"/>
      <c r="L397" s="149"/>
      <c r="M397" s="149"/>
      <c r="N397" s="149"/>
    </row>
    <row r="398" spans="1:14">
      <c r="A398" s="149"/>
      <c r="B398" s="149"/>
      <c r="C398" s="155"/>
      <c r="D398" s="149"/>
      <c r="E398" s="149"/>
      <c r="F398" s="149"/>
      <c r="G398" s="149"/>
      <c r="H398" s="149"/>
      <c r="I398" s="149"/>
      <c r="J398" s="149"/>
      <c r="K398" s="149"/>
      <c r="L398" s="149"/>
      <c r="M398" s="149"/>
      <c r="N398" s="149"/>
    </row>
    <row r="399" spans="1:14">
      <c r="A399" s="149"/>
      <c r="B399" s="149"/>
      <c r="C399" s="155"/>
      <c r="D399" s="149"/>
      <c r="E399" s="149"/>
      <c r="F399" s="149"/>
      <c r="G399" s="149"/>
      <c r="H399" s="149"/>
      <c r="I399" s="149"/>
      <c r="J399" s="149"/>
      <c r="K399" s="149"/>
      <c r="L399" s="149"/>
      <c r="M399" s="149"/>
      <c r="N399" s="149"/>
    </row>
    <row r="400" spans="1:14">
      <c r="A400" s="149"/>
      <c r="B400" s="149"/>
      <c r="C400" s="155"/>
      <c r="D400" s="149"/>
      <c r="E400" s="149"/>
      <c r="F400" s="149"/>
      <c r="G400" s="149"/>
      <c r="H400" s="149"/>
      <c r="I400" s="149"/>
      <c r="J400" s="149"/>
      <c r="K400" s="149"/>
      <c r="L400" s="149"/>
      <c r="M400" s="149"/>
      <c r="N400" s="149"/>
    </row>
    <row r="401" spans="1:14">
      <c r="A401" s="149"/>
      <c r="B401" s="149"/>
      <c r="C401" s="155"/>
      <c r="D401" s="149"/>
      <c r="E401" s="149"/>
      <c r="F401" s="149"/>
      <c r="G401" s="149"/>
      <c r="H401" s="149"/>
      <c r="I401" s="149"/>
      <c r="J401" s="149"/>
      <c r="K401" s="149"/>
      <c r="L401" s="149"/>
      <c r="M401" s="149"/>
      <c r="N401" s="149"/>
    </row>
    <row r="402" spans="1:14">
      <c r="A402" s="149"/>
      <c r="B402" s="149"/>
      <c r="C402" s="155"/>
      <c r="D402" s="149"/>
      <c r="E402" s="149"/>
      <c r="F402" s="149"/>
      <c r="G402" s="149"/>
      <c r="H402" s="149"/>
      <c r="I402" s="149"/>
      <c r="J402" s="149"/>
      <c r="K402" s="149"/>
      <c r="L402" s="149"/>
      <c r="M402" s="149"/>
      <c r="N402" s="149"/>
    </row>
    <row r="403" spans="1:14">
      <c r="A403" s="149"/>
      <c r="B403" s="149"/>
      <c r="C403" s="155"/>
      <c r="D403" s="149"/>
      <c r="E403" s="149"/>
      <c r="F403" s="149"/>
      <c r="G403" s="149"/>
      <c r="H403" s="149"/>
      <c r="I403" s="149"/>
      <c r="J403" s="149"/>
      <c r="K403" s="149"/>
      <c r="L403" s="149"/>
      <c r="M403" s="149"/>
      <c r="N403" s="149"/>
    </row>
    <row r="404" spans="1:14">
      <c r="A404" s="149"/>
      <c r="B404" s="149"/>
      <c r="C404" s="155"/>
      <c r="D404" s="149"/>
      <c r="E404" s="149"/>
      <c r="F404" s="149"/>
      <c r="G404" s="149"/>
      <c r="H404" s="149"/>
      <c r="I404" s="149"/>
      <c r="J404" s="149"/>
      <c r="K404" s="149"/>
      <c r="L404" s="149"/>
      <c r="M404" s="149"/>
      <c r="N404" s="149"/>
    </row>
    <row r="405" spans="1:14">
      <c r="A405" s="149"/>
      <c r="B405" s="149"/>
      <c r="C405" s="155"/>
      <c r="D405" s="149"/>
      <c r="E405" s="149"/>
      <c r="F405" s="149"/>
      <c r="G405" s="149"/>
      <c r="H405" s="149"/>
      <c r="I405" s="149"/>
      <c r="J405" s="149"/>
      <c r="K405" s="149"/>
      <c r="L405" s="149"/>
      <c r="M405" s="149"/>
      <c r="N405" s="149"/>
    </row>
    <row r="406" spans="1:14">
      <c r="A406" s="149"/>
      <c r="B406" s="149"/>
      <c r="C406" s="155"/>
      <c r="D406" s="149"/>
      <c r="E406" s="149"/>
      <c r="F406" s="149"/>
      <c r="G406" s="149"/>
      <c r="H406" s="149"/>
      <c r="I406" s="149"/>
      <c r="J406" s="149"/>
      <c r="K406" s="149"/>
      <c r="L406" s="149"/>
      <c r="M406" s="149"/>
      <c r="N406" s="149"/>
    </row>
    <row r="407" spans="1:14">
      <c r="A407" s="149"/>
      <c r="B407" s="149"/>
      <c r="C407" s="155"/>
      <c r="D407" s="149"/>
      <c r="E407" s="149"/>
      <c r="F407" s="149"/>
      <c r="G407" s="149"/>
      <c r="H407" s="149"/>
      <c r="I407" s="149"/>
      <c r="J407" s="149"/>
      <c r="K407" s="149"/>
      <c r="L407" s="149"/>
      <c r="M407" s="149"/>
      <c r="N407" s="149"/>
    </row>
    <row r="408" spans="1:14">
      <c r="A408" s="149"/>
      <c r="B408" s="149"/>
      <c r="C408" s="155"/>
      <c r="D408" s="149"/>
      <c r="E408" s="149"/>
      <c r="F408" s="149"/>
      <c r="G408" s="149"/>
      <c r="H408" s="149"/>
      <c r="I408" s="149"/>
      <c r="J408" s="149"/>
      <c r="K408" s="149"/>
      <c r="L408" s="149"/>
      <c r="M408" s="149"/>
      <c r="N408" s="149"/>
    </row>
    <row r="409" spans="1:14">
      <c r="A409" s="149"/>
      <c r="B409" s="149"/>
      <c r="C409" s="155"/>
      <c r="D409" s="149"/>
      <c r="E409" s="149"/>
      <c r="F409" s="149"/>
      <c r="G409" s="149"/>
      <c r="H409" s="149"/>
      <c r="I409" s="149"/>
      <c r="J409" s="149"/>
      <c r="K409" s="149"/>
      <c r="L409" s="149"/>
      <c r="M409" s="149"/>
      <c r="N409" s="149"/>
    </row>
    <row r="410" spans="1:14">
      <c r="A410" s="149"/>
      <c r="B410" s="149"/>
      <c r="C410" s="155"/>
      <c r="D410" s="149"/>
      <c r="E410" s="149"/>
      <c r="F410" s="149"/>
      <c r="G410" s="149"/>
      <c r="H410" s="149"/>
      <c r="I410" s="149"/>
      <c r="J410" s="149"/>
      <c r="K410" s="149"/>
      <c r="L410" s="149"/>
      <c r="M410" s="149"/>
      <c r="N410" s="149"/>
    </row>
    <row r="411" spans="1:14">
      <c r="A411" s="149"/>
      <c r="B411" s="149"/>
      <c r="C411" s="155"/>
      <c r="D411" s="149"/>
      <c r="E411" s="149"/>
      <c r="F411" s="149"/>
      <c r="G411" s="149"/>
      <c r="H411" s="149"/>
      <c r="I411" s="149"/>
      <c r="J411" s="149"/>
      <c r="K411" s="149"/>
      <c r="L411" s="149"/>
      <c r="M411" s="149"/>
      <c r="N411" s="149"/>
    </row>
    <row r="412" spans="1:14">
      <c r="A412" s="149"/>
      <c r="B412" s="149"/>
      <c r="C412" s="155"/>
      <c r="D412" s="149"/>
      <c r="E412" s="149"/>
      <c r="F412" s="149"/>
      <c r="G412" s="149"/>
      <c r="H412" s="149"/>
      <c r="I412" s="149"/>
      <c r="J412" s="149"/>
      <c r="K412" s="149"/>
      <c r="L412" s="149"/>
      <c r="M412" s="149"/>
      <c r="N412" s="149"/>
    </row>
    <row r="413" spans="1:14">
      <c r="A413" s="149"/>
      <c r="B413" s="149"/>
      <c r="C413" s="155"/>
      <c r="D413" s="149"/>
      <c r="E413" s="149"/>
      <c r="F413" s="149"/>
      <c r="G413" s="149"/>
      <c r="H413" s="149"/>
      <c r="I413" s="149"/>
      <c r="J413" s="149"/>
      <c r="K413" s="149"/>
      <c r="L413" s="149"/>
      <c r="M413" s="149"/>
      <c r="N413" s="149"/>
    </row>
    <row r="414" spans="1:14">
      <c r="A414" s="149"/>
      <c r="B414" s="149"/>
      <c r="C414" s="155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</row>
    <row r="415" spans="1:14">
      <c r="A415" s="149"/>
      <c r="B415" s="149"/>
      <c r="C415" s="155"/>
      <c r="D415" s="149"/>
      <c r="E415" s="149"/>
      <c r="F415" s="149"/>
      <c r="G415" s="149"/>
      <c r="H415" s="149"/>
      <c r="I415" s="149"/>
      <c r="J415" s="149"/>
      <c r="K415" s="149"/>
      <c r="L415" s="149"/>
      <c r="M415" s="149"/>
      <c r="N415" s="149"/>
    </row>
    <row r="416" spans="1:14">
      <c r="A416" s="149"/>
      <c r="B416" s="149"/>
      <c r="C416" s="155"/>
      <c r="D416" s="149"/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</row>
    <row r="417" spans="1:14">
      <c r="A417" s="149"/>
      <c r="B417" s="149"/>
      <c r="C417" s="155"/>
      <c r="D417" s="149"/>
      <c r="E417" s="149"/>
      <c r="F417" s="149"/>
      <c r="G417" s="149"/>
      <c r="H417" s="149"/>
      <c r="I417" s="149"/>
      <c r="J417" s="149"/>
      <c r="K417" s="149"/>
      <c r="L417" s="149"/>
      <c r="M417" s="149"/>
      <c r="N417" s="149"/>
    </row>
    <row r="418" spans="1:14">
      <c r="A418" s="149"/>
      <c r="B418" s="149"/>
      <c r="C418" s="155"/>
      <c r="D418" s="149"/>
      <c r="E418" s="149"/>
      <c r="F418" s="149"/>
      <c r="G418" s="149"/>
      <c r="H418" s="149"/>
      <c r="I418" s="149"/>
      <c r="J418" s="149"/>
      <c r="K418" s="149"/>
      <c r="L418" s="149"/>
      <c r="M418" s="149"/>
      <c r="N418" s="149"/>
    </row>
    <row r="419" spans="1:14">
      <c r="A419" s="149"/>
      <c r="B419" s="149"/>
      <c r="C419" s="155"/>
      <c r="D419" s="149"/>
      <c r="E419" s="149"/>
      <c r="F419" s="149"/>
      <c r="G419" s="149"/>
      <c r="H419" s="149"/>
      <c r="I419" s="149"/>
      <c r="J419" s="149"/>
      <c r="K419" s="149"/>
      <c r="L419" s="149"/>
      <c r="M419" s="149"/>
      <c r="N419" s="149"/>
    </row>
    <row r="420" spans="1:14">
      <c r="A420" s="149"/>
      <c r="B420" s="149"/>
      <c r="C420" s="155"/>
      <c r="D420" s="149"/>
      <c r="E420" s="149"/>
      <c r="F420" s="149"/>
      <c r="G420" s="149"/>
      <c r="H420" s="149"/>
      <c r="I420" s="149"/>
      <c r="J420" s="149"/>
      <c r="K420" s="149"/>
      <c r="L420" s="149"/>
      <c r="M420" s="149"/>
      <c r="N420" s="149"/>
    </row>
    <row r="421" spans="1:14">
      <c r="A421" s="149"/>
      <c r="B421" s="149"/>
      <c r="C421" s="155"/>
      <c r="D421" s="149"/>
      <c r="E421" s="149"/>
      <c r="F421" s="149"/>
      <c r="G421" s="149"/>
      <c r="H421" s="149"/>
      <c r="I421" s="149"/>
      <c r="J421" s="149"/>
      <c r="K421" s="149"/>
      <c r="L421" s="149"/>
      <c r="M421" s="149"/>
      <c r="N421" s="149"/>
    </row>
    <row r="422" spans="1:14">
      <c r="A422" s="149"/>
      <c r="B422" s="149"/>
      <c r="C422" s="155"/>
      <c r="D422" s="149"/>
      <c r="E422" s="149"/>
      <c r="F422" s="149"/>
      <c r="G422" s="149"/>
      <c r="H422" s="149"/>
      <c r="I422" s="149"/>
      <c r="J422" s="149"/>
      <c r="K422" s="149"/>
      <c r="L422" s="149"/>
      <c r="M422" s="149"/>
      <c r="N422" s="149"/>
    </row>
    <row r="423" spans="1:14">
      <c r="A423" s="149"/>
      <c r="B423" s="149"/>
      <c r="C423" s="155"/>
      <c r="D423" s="149"/>
      <c r="E423" s="149"/>
      <c r="F423" s="149"/>
      <c r="G423" s="149"/>
      <c r="H423" s="149"/>
      <c r="I423" s="149"/>
      <c r="J423" s="149"/>
      <c r="K423" s="149"/>
      <c r="L423" s="149"/>
      <c r="M423" s="149"/>
      <c r="N423" s="149"/>
    </row>
    <row r="424" spans="1:14">
      <c r="A424" s="149"/>
      <c r="B424" s="149"/>
      <c r="C424" s="155"/>
      <c r="D424" s="149"/>
      <c r="E424" s="149"/>
      <c r="F424" s="149"/>
      <c r="G424" s="149"/>
      <c r="H424" s="149"/>
      <c r="I424" s="149"/>
      <c r="J424" s="149"/>
      <c r="K424" s="149"/>
      <c r="L424" s="149"/>
      <c r="M424" s="149"/>
      <c r="N424" s="149"/>
    </row>
    <row r="425" spans="1:14">
      <c r="A425" s="149"/>
      <c r="B425" s="149"/>
      <c r="C425" s="155"/>
      <c r="D425" s="149"/>
      <c r="E425" s="149"/>
      <c r="F425" s="149"/>
      <c r="G425" s="149"/>
      <c r="H425" s="149"/>
      <c r="I425" s="149"/>
      <c r="J425" s="149"/>
      <c r="K425" s="149"/>
      <c r="L425" s="149"/>
      <c r="M425" s="149"/>
      <c r="N425" s="149"/>
    </row>
    <row r="426" spans="1:14">
      <c r="A426" s="149"/>
      <c r="B426" s="149"/>
      <c r="C426" s="155"/>
      <c r="D426" s="149"/>
      <c r="E426" s="149"/>
      <c r="F426" s="149"/>
      <c r="G426" s="149"/>
      <c r="H426" s="149"/>
      <c r="I426" s="149"/>
      <c r="J426" s="149"/>
      <c r="K426" s="149"/>
      <c r="L426" s="149"/>
      <c r="M426" s="149"/>
      <c r="N426" s="149"/>
    </row>
    <row r="427" spans="1:14">
      <c r="A427" s="149"/>
      <c r="B427" s="149"/>
      <c r="C427" s="155"/>
      <c r="D427" s="149"/>
      <c r="E427" s="149"/>
      <c r="F427" s="149"/>
      <c r="G427" s="149"/>
      <c r="H427" s="149"/>
      <c r="I427" s="149"/>
      <c r="J427" s="149"/>
      <c r="K427" s="149"/>
      <c r="L427" s="149"/>
      <c r="M427" s="149"/>
      <c r="N427" s="149"/>
    </row>
    <row r="428" spans="1:14">
      <c r="A428" s="149"/>
      <c r="B428" s="149"/>
      <c r="C428" s="155"/>
      <c r="D428" s="149"/>
      <c r="E428" s="149"/>
      <c r="F428" s="149"/>
      <c r="G428" s="149"/>
      <c r="H428" s="149"/>
      <c r="I428" s="149"/>
      <c r="J428" s="149"/>
      <c r="K428" s="149"/>
      <c r="L428" s="149"/>
      <c r="M428" s="149"/>
      <c r="N428" s="149"/>
    </row>
    <row r="429" spans="1:14">
      <c r="A429" s="149"/>
      <c r="B429" s="149"/>
      <c r="C429" s="155"/>
      <c r="D429" s="149"/>
      <c r="E429" s="149"/>
      <c r="F429" s="149"/>
      <c r="G429" s="149"/>
      <c r="H429" s="149"/>
      <c r="I429" s="149"/>
      <c r="J429" s="149"/>
      <c r="K429" s="149"/>
      <c r="L429" s="149"/>
      <c r="M429" s="149"/>
      <c r="N429" s="149"/>
    </row>
    <row r="430" spans="1:14">
      <c r="A430" s="149"/>
      <c r="B430" s="149"/>
      <c r="C430" s="155"/>
      <c r="D430" s="149"/>
      <c r="E430" s="149"/>
      <c r="F430" s="149"/>
      <c r="G430" s="149"/>
      <c r="H430" s="149"/>
      <c r="I430" s="149"/>
      <c r="J430" s="149"/>
      <c r="K430" s="149"/>
      <c r="L430" s="149"/>
      <c r="M430" s="149"/>
      <c r="N430" s="149"/>
    </row>
    <row r="431" spans="1:14">
      <c r="A431" s="149"/>
      <c r="B431" s="149"/>
      <c r="C431" s="155"/>
      <c r="D431" s="149"/>
      <c r="E431" s="149"/>
      <c r="F431" s="149"/>
      <c r="G431" s="149"/>
      <c r="H431" s="149"/>
      <c r="I431" s="149"/>
      <c r="J431" s="149"/>
      <c r="K431" s="149"/>
      <c r="L431" s="149"/>
      <c r="M431" s="149"/>
      <c r="N431" s="149"/>
    </row>
    <row r="432" spans="1:14">
      <c r="A432" s="149"/>
      <c r="B432" s="149"/>
      <c r="C432" s="155"/>
      <c r="D432" s="149"/>
      <c r="E432" s="149"/>
      <c r="F432" s="149"/>
      <c r="G432" s="149"/>
      <c r="H432" s="149"/>
      <c r="I432" s="149"/>
      <c r="J432" s="149"/>
      <c r="K432" s="149"/>
      <c r="L432" s="149"/>
      <c r="M432" s="149"/>
      <c r="N432" s="149"/>
    </row>
    <row r="433" spans="1:14">
      <c r="A433" s="149"/>
      <c r="B433" s="149"/>
      <c r="C433" s="155"/>
      <c r="D433" s="149"/>
      <c r="E433" s="149"/>
      <c r="F433" s="149"/>
      <c r="G433" s="149"/>
      <c r="H433" s="149"/>
      <c r="I433" s="149"/>
      <c r="J433" s="149"/>
      <c r="K433" s="149"/>
      <c r="L433" s="149"/>
      <c r="M433" s="149"/>
      <c r="N433" s="149"/>
    </row>
    <row r="434" spans="1:14">
      <c r="A434" s="149"/>
      <c r="B434" s="149"/>
      <c r="C434" s="155"/>
      <c r="D434" s="149"/>
      <c r="E434" s="149"/>
      <c r="F434" s="149"/>
      <c r="G434" s="149"/>
      <c r="H434" s="149"/>
      <c r="I434" s="149"/>
      <c r="J434" s="149"/>
      <c r="K434" s="149"/>
      <c r="L434" s="149"/>
      <c r="M434" s="149"/>
      <c r="N434" s="149"/>
    </row>
    <row r="435" spans="1:14">
      <c r="A435" s="149"/>
      <c r="B435" s="149"/>
      <c r="C435" s="155"/>
      <c r="D435" s="149"/>
      <c r="E435" s="149"/>
      <c r="F435" s="149"/>
      <c r="G435" s="149"/>
      <c r="H435" s="149"/>
      <c r="I435" s="149"/>
      <c r="J435" s="149"/>
      <c r="K435" s="149"/>
      <c r="L435" s="149"/>
      <c r="M435" s="149"/>
      <c r="N435" s="149"/>
    </row>
    <row r="436" spans="1:14">
      <c r="A436" s="149"/>
      <c r="B436" s="149"/>
      <c r="C436" s="155"/>
      <c r="D436" s="149"/>
      <c r="E436" s="149"/>
      <c r="F436" s="149"/>
      <c r="G436" s="149"/>
      <c r="H436" s="149"/>
      <c r="I436" s="149"/>
      <c r="J436" s="149"/>
      <c r="K436" s="149"/>
      <c r="L436" s="149"/>
      <c r="M436" s="149"/>
      <c r="N436" s="149"/>
    </row>
    <row r="437" spans="1:14">
      <c r="A437" s="149"/>
      <c r="B437" s="149"/>
      <c r="C437" s="155"/>
      <c r="D437" s="149"/>
      <c r="E437" s="149"/>
      <c r="F437" s="149"/>
      <c r="G437" s="149"/>
      <c r="H437" s="149"/>
      <c r="I437" s="149"/>
      <c r="J437" s="149"/>
      <c r="K437" s="149"/>
      <c r="L437" s="149"/>
      <c r="M437" s="149"/>
      <c r="N437" s="149"/>
    </row>
    <row r="438" spans="1:14">
      <c r="A438" s="149"/>
      <c r="B438" s="149"/>
      <c r="C438" s="155"/>
      <c r="D438" s="149"/>
      <c r="E438" s="149"/>
      <c r="F438" s="149"/>
      <c r="G438" s="149"/>
      <c r="H438" s="149"/>
      <c r="I438" s="149"/>
      <c r="J438" s="149"/>
      <c r="K438" s="149"/>
      <c r="L438" s="149"/>
      <c r="M438" s="149"/>
      <c r="N438" s="149"/>
    </row>
    <row r="439" spans="1:14">
      <c r="A439" s="149"/>
      <c r="B439" s="149"/>
      <c r="C439" s="155"/>
      <c r="D439" s="149"/>
      <c r="E439" s="149"/>
      <c r="F439" s="149"/>
      <c r="G439" s="149"/>
      <c r="H439" s="149"/>
      <c r="I439" s="149"/>
      <c r="J439" s="149"/>
      <c r="K439" s="149"/>
      <c r="L439" s="149"/>
      <c r="M439" s="149"/>
      <c r="N439" s="149"/>
    </row>
    <row r="440" spans="1:14">
      <c r="A440" s="149"/>
      <c r="B440" s="149"/>
      <c r="C440" s="155"/>
      <c r="D440" s="149"/>
      <c r="E440" s="149"/>
      <c r="F440" s="149"/>
      <c r="G440" s="149"/>
      <c r="H440" s="149"/>
      <c r="I440" s="149"/>
      <c r="J440" s="149"/>
      <c r="K440" s="149"/>
      <c r="L440" s="149"/>
      <c r="M440" s="149"/>
      <c r="N440" s="149"/>
    </row>
    <row r="441" spans="1:14">
      <c r="A441" s="149"/>
      <c r="B441" s="149"/>
      <c r="C441" s="155"/>
      <c r="D441" s="149"/>
      <c r="E441" s="149"/>
      <c r="F441" s="149"/>
      <c r="G441" s="149"/>
      <c r="H441" s="149"/>
      <c r="I441" s="149"/>
      <c r="J441" s="149"/>
      <c r="K441" s="149"/>
      <c r="L441" s="149"/>
      <c r="M441" s="149"/>
      <c r="N441" s="149"/>
    </row>
    <row r="442" spans="1:14">
      <c r="A442" s="149"/>
      <c r="B442" s="149"/>
      <c r="C442" s="155"/>
      <c r="D442" s="149"/>
      <c r="E442" s="149"/>
      <c r="F442" s="149"/>
      <c r="G442" s="149"/>
      <c r="H442" s="149"/>
      <c r="I442" s="149"/>
      <c r="J442" s="149"/>
      <c r="K442" s="149"/>
      <c r="L442" s="149"/>
      <c r="M442" s="149"/>
      <c r="N442" s="149"/>
    </row>
    <row r="443" spans="1:14">
      <c r="A443" s="149"/>
      <c r="B443" s="149"/>
      <c r="C443" s="155"/>
      <c r="D443" s="149"/>
      <c r="E443" s="149"/>
      <c r="F443" s="149"/>
      <c r="G443" s="149"/>
      <c r="H443" s="149"/>
      <c r="I443" s="149"/>
      <c r="J443" s="149"/>
      <c r="K443" s="149"/>
      <c r="L443" s="149"/>
      <c r="M443" s="149"/>
      <c r="N443" s="149"/>
    </row>
    <row r="444" spans="1:14">
      <c r="A444" s="149"/>
      <c r="B444" s="149"/>
      <c r="C444" s="155"/>
      <c r="D444" s="149"/>
      <c r="E444" s="149"/>
      <c r="F444" s="149"/>
      <c r="G444" s="149"/>
      <c r="H444" s="149"/>
      <c r="I444" s="149"/>
      <c r="J444" s="149"/>
      <c r="K444" s="149"/>
      <c r="L444" s="149"/>
      <c r="M444" s="149"/>
      <c r="N444" s="149"/>
    </row>
    <row r="445" spans="1:14">
      <c r="A445" s="149"/>
      <c r="B445" s="149"/>
      <c r="C445" s="155"/>
      <c r="D445" s="149"/>
      <c r="E445" s="149"/>
      <c r="F445" s="149"/>
      <c r="G445" s="149"/>
      <c r="H445" s="149"/>
      <c r="I445" s="149"/>
      <c r="J445" s="149"/>
      <c r="K445" s="149"/>
      <c r="L445" s="149"/>
      <c r="M445" s="149"/>
      <c r="N445" s="149"/>
    </row>
    <row r="446" spans="1:14">
      <c r="A446" s="149"/>
      <c r="B446" s="149"/>
      <c r="C446" s="155"/>
      <c r="D446" s="149"/>
      <c r="E446" s="149"/>
      <c r="F446" s="149"/>
      <c r="G446" s="149"/>
      <c r="H446" s="149"/>
      <c r="I446" s="149"/>
      <c r="J446" s="149"/>
      <c r="K446" s="149"/>
      <c r="L446" s="149"/>
      <c r="M446" s="149"/>
      <c r="N446" s="149"/>
    </row>
    <row r="447" spans="1:14">
      <c r="A447" s="149"/>
      <c r="B447" s="149"/>
      <c r="C447" s="155"/>
      <c r="D447" s="149"/>
      <c r="E447" s="149"/>
      <c r="F447" s="149"/>
      <c r="G447" s="149"/>
      <c r="H447" s="149"/>
      <c r="I447" s="149"/>
      <c r="J447" s="149"/>
      <c r="K447" s="149"/>
      <c r="L447" s="149"/>
      <c r="M447" s="149"/>
      <c r="N447" s="149"/>
    </row>
    <row r="448" spans="1:14">
      <c r="A448" s="149"/>
      <c r="B448" s="149"/>
      <c r="C448" s="155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</row>
    <row r="449" spans="1:14">
      <c r="A449" s="149"/>
      <c r="B449" s="149"/>
      <c r="C449" s="155"/>
      <c r="D449" s="149"/>
      <c r="E449" s="149"/>
      <c r="F449" s="149"/>
      <c r="G449" s="149"/>
      <c r="H449" s="149"/>
      <c r="I449" s="149"/>
      <c r="J449" s="149"/>
      <c r="K449" s="149"/>
      <c r="L449" s="149"/>
      <c r="M449" s="149"/>
      <c r="N449" s="149"/>
    </row>
    <row r="450" spans="1:14">
      <c r="A450" s="149"/>
      <c r="B450" s="149"/>
      <c r="C450" s="155"/>
      <c r="D450" s="149"/>
      <c r="E450" s="149"/>
      <c r="F450" s="149"/>
      <c r="G450" s="149"/>
      <c r="H450" s="149"/>
      <c r="I450" s="149"/>
      <c r="J450" s="149"/>
      <c r="K450" s="149"/>
      <c r="L450" s="149"/>
      <c r="M450" s="149"/>
      <c r="N450" s="149"/>
    </row>
    <row r="451" spans="1:14">
      <c r="A451" s="149"/>
      <c r="B451" s="149"/>
      <c r="C451" s="155"/>
      <c r="D451" s="149"/>
      <c r="E451" s="149"/>
      <c r="F451" s="149"/>
      <c r="G451" s="149"/>
      <c r="H451" s="149"/>
      <c r="I451" s="149"/>
      <c r="J451" s="149"/>
      <c r="K451" s="149"/>
      <c r="L451" s="149"/>
      <c r="M451" s="149"/>
      <c r="N451" s="149"/>
    </row>
    <row r="452" spans="1:14">
      <c r="A452" s="149"/>
      <c r="B452" s="149"/>
      <c r="C452" s="155"/>
      <c r="D452" s="149"/>
      <c r="E452" s="149"/>
      <c r="F452" s="149"/>
      <c r="G452" s="149"/>
      <c r="H452" s="149"/>
      <c r="I452" s="149"/>
      <c r="J452" s="149"/>
      <c r="K452" s="149"/>
      <c r="L452" s="149"/>
      <c r="M452" s="149"/>
      <c r="N452" s="149"/>
    </row>
    <row r="453" spans="1:14">
      <c r="A453" s="149"/>
      <c r="B453" s="149"/>
      <c r="C453" s="155"/>
      <c r="D453" s="149"/>
      <c r="E453" s="149"/>
      <c r="F453" s="149"/>
      <c r="G453" s="149"/>
      <c r="H453" s="149"/>
      <c r="I453" s="149"/>
      <c r="J453" s="149"/>
      <c r="K453" s="149"/>
      <c r="L453" s="149"/>
      <c r="M453" s="149"/>
      <c r="N453" s="149"/>
    </row>
    <row r="454" spans="1:14">
      <c r="A454" s="149"/>
      <c r="B454" s="149"/>
      <c r="C454" s="155"/>
      <c r="D454" s="149"/>
      <c r="E454" s="149"/>
      <c r="F454" s="149"/>
      <c r="G454" s="149"/>
      <c r="H454" s="149"/>
      <c r="I454" s="149"/>
      <c r="J454" s="149"/>
      <c r="K454" s="149"/>
      <c r="L454" s="149"/>
      <c r="M454" s="149"/>
      <c r="N454" s="149"/>
    </row>
    <row r="455" spans="1:14">
      <c r="A455" s="149"/>
      <c r="B455" s="149"/>
      <c r="C455" s="155"/>
      <c r="D455" s="149"/>
      <c r="E455" s="149"/>
      <c r="F455" s="149"/>
      <c r="G455" s="149"/>
      <c r="H455" s="149"/>
      <c r="I455" s="149"/>
      <c r="J455" s="149"/>
      <c r="K455" s="149"/>
      <c r="L455" s="149"/>
      <c r="M455" s="149"/>
      <c r="N455" s="149"/>
    </row>
    <row r="456" spans="1:14">
      <c r="A456" s="149"/>
      <c r="B456" s="149"/>
      <c r="C456" s="155"/>
      <c r="D456" s="149"/>
      <c r="E456" s="149"/>
      <c r="F456" s="149"/>
      <c r="G456" s="149"/>
      <c r="H456" s="149"/>
      <c r="I456" s="149"/>
      <c r="J456" s="149"/>
      <c r="K456" s="149"/>
      <c r="L456" s="149"/>
      <c r="M456" s="149"/>
      <c r="N456" s="149"/>
    </row>
    <row r="457" spans="1:14">
      <c r="A457" s="149"/>
      <c r="B457" s="149"/>
      <c r="C457" s="155"/>
      <c r="D457" s="149"/>
      <c r="E457" s="149"/>
      <c r="F457" s="149"/>
      <c r="G457" s="149"/>
      <c r="H457" s="149"/>
      <c r="I457" s="149"/>
      <c r="J457" s="149"/>
      <c r="K457" s="149"/>
      <c r="L457" s="149"/>
      <c r="M457" s="149"/>
      <c r="N457" s="149"/>
    </row>
    <row r="458" spans="1:14">
      <c r="A458" s="149"/>
      <c r="B458" s="149"/>
      <c r="C458" s="155"/>
      <c r="D458" s="149"/>
      <c r="E458" s="149"/>
      <c r="F458" s="149"/>
      <c r="G458" s="149"/>
      <c r="H458" s="149"/>
      <c r="I458" s="149"/>
      <c r="J458" s="149"/>
      <c r="K458" s="149"/>
      <c r="L458" s="149"/>
      <c r="M458" s="149"/>
      <c r="N458" s="149"/>
    </row>
    <row r="459" spans="1:14">
      <c r="A459" s="149"/>
      <c r="B459" s="149"/>
      <c r="C459" s="155"/>
      <c r="D459" s="149"/>
      <c r="E459" s="149"/>
      <c r="F459" s="149"/>
      <c r="G459" s="149"/>
      <c r="H459" s="149"/>
      <c r="I459" s="149"/>
      <c r="J459" s="149"/>
      <c r="K459" s="149"/>
      <c r="L459" s="149"/>
      <c r="M459" s="149"/>
      <c r="N459" s="149"/>
    </row>
    <row r="460" spans="1:14">
      <c r="A460" s="149"/>
      <c r="B460" s="149"/>
      <c r="C460" s="155"/>
      <c r="D460" s="149"/>
      <c r="E460" s="149"/>
      <c r="F460" s="149"/>
      <c r="G460" s="149"/>
      <c r="H460" s="149"/>
      <c r="I460" s="149"/>
      <c r="J460" s="149"/>
      <c r="K460" s="149"/>
      <c r="L460" s="149"/>
      <c r="M460" s="149"/>
      <c r="N460" s="149"/>
    </row>
    <row r="461" spans="1:14">
      <c r="A461" s="149"/>
      <c r="B461" s="149"/>
      <c r="C461" s="155"/>
      <c r="D461" s="149"/>
      <c r="E461" s="149"/>
      <c r="F461" s="149"/>
      <c r="G461" s="149"/>
      <c r="H461" s="149"/>
      <c r="I461" s="149"/>
      <c r="J461" s="149"/>
      <c r="K461" s="149"/>
      <c r="L461" s="149"/>
      <c r="M461" s="149"/>
      <c r="N461" s="149"/>
    </row>
    <row r="462" spans="1:14">
      <c r="A462" s="149"/>
      <c r="B462" s="149"/>
      <c r="C462" s="155"/>
      <c r="D462" s="149"/>
      <c r="E462" s="149"/>
      <c r="F462" s="149"/>
      <c r="G462" s="149"/>
      <c r="H462" s="149"/>
      <c r="I462" s="149"/>
      <c r="J462" s="149"/>
      <c r="K462" s="149"/>
      <c r="L462" s="149"/>
      <c r="M462" s="149"/>
      <c r="N462" s="149"/>
    </row>
    <row r="463" spans="1:14">
      <c r="A463" s="149"/>
      <c r="B463" s="149"/>
      <c r="C463" s="155"/>
      <c r="D463" s="149"/>
      <c r="E463" s="149"/>
      <c r="F463" s="149"/>
      <c r="G463" s="149"/>
      <c r="H463" s="149"/>
      <c r="I463" s="149"/>
      <c r="J463" s="149"/>
      <c r="K463" s="149"/>
      <c r="L463" s="149"/>
      <c r="M463" s="149"/>
      <c r="N463" s="149"/>
    </row>
    <row r="464" spans="1:14">
      <c r="A464" s="149"/>
      <c r="B464" s="149"/>
      <c r="C464" s="155"/>
      <c r="D464" s="149"/>
      <c r="E464" s="149"/>
      <c r="F464" s="149"/>
      <c r="G464" s="149"/>
      <c r="H464" s="149"/>
      <c r="I464" s="149"/>
      <c r="J464" s="149"/>
      <c r="K464" s="149"/>
      <c r="L464" s="149"/>
      <c r="M464" s="149"/>
      <c r="N464" s="149"/>
    </row>
    <row r="465" spans="1:14">
      <c r="A465" s="149"/>
      <c r="B465" s="149"/>
      <c r="C465" s="155"/>
      <c r="D465" s="149"/>
      <c r="E465" s="149"/>
      <c r="F465" s="149"/>
      <c r="G465" s="149"/>
      <c r="H465" s="149"/>
      <c r="I465" s="149"/>
      <c r="J465" s="149"/>
      <c r="K465" s="149"/>
      <c r="L465" s="149"/>
      <c r="M465" s="149"/>
      <c r="N465" s="149"/>
    </row>
    <row r="466" spans="1:14">
      <c r="A466" s="149"/>
      <c r="B466" s="149"/>
      <c r="C466" s="155"/>
      <c r="D466" s="149"/>
      <c r="E466" s="149"/>
      <c r="F466" s="149"/>
      <c r="G466" s="149"/>
      <c r="H466" s="149"/>
      <c r="I466" s="149"/>
      <c r="J466" s="149"/>
      <c r="K466" s="149"/>
      <c r="L466" s="149"/>
      <c r="M466" s="149"/>
      <c r="N466" s="149"/>
    </row>
    <row r="467" spans="1:14">
      <c r="A467" s="149"/>
      <c r="B467" s="149"/>
      <c r="C467" s="155"/>
      <c r="D467" s="149"/>
      <c r="E467" s="149"/>
      <c r="F467" s="149"/>
      <c r="G467" s="149"/>
      <c r="H467" s="149"/>
      <c r="I467" s="149"/>
      <c r="J467" s="149"/>
      <c r="K467" s="149"/>
      <c r="L467" s="149"/>
      <c r="M467" s="149"/>
      <c r="N467" s="149"/>
    </row>
    <row r="468" spans="1:14">
      <c r="A468" s="149"/>
      <c r="B468" s="149"/>
      <c r="C468" s="155"/>
      <c r="D468" s="149"/>
      <c r="E468" s="149"/>
      <c r="F468" s="149"/>
      <c r="G468" s="149"/>
      <c r="H468" s="149"/>
      <c r="I468" s="149"/>
      <c r="J468" s="149"/>
      <c r="K468" s="149"/>
      <c r="L468" s="149"/>
      <c r="M468" s="149"/>
      <c r="N468" s="149"/>
    </row>
    <row r="469" spans="1:14">
      <c r="A469" s="149"/>
      <c r="B469" s="149"/>
      <c r="C469" s="155"/>
      <c r="D469" s="149"/>
      <c r="E469" s="149"/>
      <c r="F469" s="149"/>
      <c r="G469" s="149"/>
      <c r="H469" s="149"/>
      <c r="I469" s="149"/>
      <c r="J469" s="149"/>
      <c r="K469" s="149"/>
      <c r="L469" s="149"/>
      <c r="M469" s="149"/>
      <c r="N469" s="149"/>
    </row>
    <row r="470" spans="1:14">
      <c r="A470" s="149"/>
      <c r="B470" s="149"/>
      <c r="C470" s="155"/>
      <c r="D470" s="149"/>
      <c r="E470" s="149"/>
      <c r="F470" s="149"/>
      <c r="G470" s="149"/>
      <c r="H470" s="149"/>
      <c r="I470" s="149"/>
      <c r="J470" s="149"/>
      <c r="K470" s="149"/>
      <c r="L470" s="149"/>
      <c r="M470" s="149"/>
      <c r="N470" s="149"/>
    </row>
    <row r="471" spans="1:14">
      <c r="A471" s="149"/>
      <c r="B471" s="149"/>
      <c r="C471" s="155"/>
      <c r="D471" s="149"/>
      <c r="E471" s="149"/>
      <c r="F471" s="149"/>
      <c r="G471" s="149"/>
      <c r="H471" s="149"/>
      <c r="I471" s="149"/>
      <c r="J471" s="149"/>
      <c r="K471" s="149"/>
      <c r="L471" s="149"/>
      <c r="M471" s="149"/>
      <c r="N471" s="149"/>
    </row>
    <row r="472" spans="1:14">
      <c r="A472" s="149"/>
      <c r="B472" s="149"/>
      <c r="C472" s="155"/>
      <c r="D472" s="149"/>
      <c r="E472" s="149"/>
      <c r="F472" s="149"/>
      <c r="G472" s="149"/>
      <c r="H472" s="149"/>
      <c r="I472" s="149"/>
      <c r="J472" s="149"/>
      <c r="K472" s="149"/>
      <c r="L472" s="149"/>
      <c r="M472" s="149"/>
      <c r="N472" s="149"/>
    </row>
    <row r="473" spans="1:14">
      <c r="A473" s="149"/>
      <c r="B473" s="149"/>
      <c r="C473" s="155"/>
      <c r="D473" s="149"/>
      <c r="E473" s="149"/>
      <c r="F473" s="149"/>
      <c r="G473" s="149"/>
      <c r="H473" s="149"/>
      <c r="I473" s="149"/>
      <c r="J473" s="149"/>
      <c r="K473" s="149"/>
      <c r="L473" s="149"/>
      <c r="M473" s="149"/>
      <c r="N473" s="149"/>
    </row>
    <row r="474" spans="1:14">
      <c r="A474" s="149"/>
      <c r="B474" s="149"/>
      <c r="C474" s="155"/>
      <c r="D474" s="149"/>
      <c r="E474" s="149"/>
      <c r="F474" s="149"/>
      <c r="G474" s="149"/>
      <c r="H474" s="149"/>
      <c r="I474" s="149"/>
      <c r="J474" s="149"/>
      <c r="K474" s="149"/>
      <c r="L474" s="149"/>
      <c r="M474" s="149"/>
      <c r="N474" s="149"/>
    </row>
    <row r="475" spans="1:14">
      <c r="A475" s="149"/>
      <c r="B475" s="149"/>
      <c r="C475" s="155"/>
      <c r="D475" s="149"/>
      <c r="E475" s="149"/>
      <c r="F475" s="149"/>
      <c r="G475" s="149"/>
      <c r="H475" s="149"/>
      <c r="I475" s="149"/>
      <c r="J475" s="149"/>
      <c r="K475" s="149"/>
      <c r="L475" s="149"/>
      <c r="M475" s="149"/>
      <c r="N475" s="149"/>
    </row>
    <row r="476" spans="1:14">
      <c r="A476" s="149"/>
      <c r="B476" s="149"/>
      <c r="C476" s="155"/>
      <c r="D476" s="149"/>
      <c r="E476" s="149"/>
      <c r="F476" s="149"/>
      <c r="G476" s="149"/>
      <c r="H476" s="149"/>
      <c r="I476" s="149"/>
      <c r="J476" s="149"/>
      <c r="K476" s="149"/>
      <c r="L476" s="149"/>
      <c r="M476" s="149"/>
      <c r="N476" s="149"/>
    </row>
    <row r="477" spans="1:14">
      <c r="A477" s="149"/>
      <c r="B477" s="149"/>
      <c r="C477" s="155"/>
      <c r="D477" s="149"/>
      <c r="E477" s="149"/>
      <c r="F477" s="149"/>
      <c r="G477" s="149"/>
      <c r="H477" s="149"/>
      <c r="I477" s="149"/>
      <c r="J477" s="149"/>
      <c r="K477" s="149"/>
      <c r="L477" s="149"/>
      <c r="M477" s="149"/>
      <c r="N477" s="149"/>
    </row>
    <row r="478" spans="1:14">
      <c r="A478" s="149"/>
      <c r="B478" s="149"/>
      <c r="C478" s="155"/>
      <c r="D478" s="149"/>
      <c r="E478" s="149"/>
      <c r="F478" s="149"/>
      <c r="G478" s="149"/>
      <c r="H478" s="149"/>
      <c r="I478" s="149"/>
      <c r="J478" s="149"/>
      <c r="K478" s="149"/>
      <c r="L478" s="149"/>
      <c r="M478" s="149"/>
      <c r="N478" s="149"/>
    </row>
    <row r="479" spans="1:14">
      <c r="A479" s="149"/>
      <c r="B479" s="149"/>
      <c r="C479" s="155"/>
      <c r="D479" s="149"/>
      <c r="E479" s="149"/>
      <c r="F479" s="149"/>
      <c r="G479" s="149"/>
      <c r="H479" s="149"/>
      <c r="I479" s="149"/>
      <c r="J479" s="149"/>
      <c r="K479" s="149"/>
      <c r="L479" s="149"/>
      <c r="M479" s="149"/>
      <c r="N479" s="149"/>
    </row>
    <row r="480" spans="1:14">
      <c r="A480" s="149"/>
      <c r="B480" s="149"/>
      <c r="C480" s="155"/>
      <c r="D480" s="149"/>
      <c r="E480" s="149"/>
      <c r="F480" s="149"/>
      <c r="G480" s="149"/>
      <c r="H480" s="149"/>
      <c r="I480" s="149"/>
      <c r="J480" s="149"/>
      <c r="K480" s="149"/>
      <c r="L480" s="149"/>
      <c r="M480" s="149"/>
      <c r="N480" s="149"/>
    </row>
    <row r="481" spans="1:14">
      <c r="A481" s="149"/>
      <c r="B481" s="149"/>
      <c r="C481" s="155"/>
      <c r="D481" s="149"/>
      <c r="E481" s="149"/>
      <c r="F481" s="149"/>
      <c r="G481" s="149"/>
      <c r="H481" s="149"/>
      <c r="I481" s="149"/>
      <c r="J481" s="149"/>
      <c r="K481" s="149"/>
      <c r="L481" s="149"/>
      <c r="M481" s="149"/>
      <c r="N481" s="149"/>
    </row>
    <row r="482" spans="1:14">
      <c r="A482" s="149"/>
      <c r="B482" s="149"/>
      <c r="C482" s="155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</row>
    <row r="483" spans="1:14">
      <c r="A483" s="149"/>
      <c r="B483" s="149"/>
      <c r="C483" s="155"/>
      <c r="D483" s="149"/>
      <c r="E483" s="149"/>
      <c r="F483" s="149"/>
      <c r="G483" s="149"/>
      <c r="H483" s="149"/>
      <c r="I483" s="149"/>
      <c r="J483" s="149"/>
      <c r="K483" s="149"/>
      <c r="L483" s="149"/>
      <c r="M483" s="149"/>
      <c r="N483" s="149"/>
    </row>
    <row r="484" spans="1:14">
      <c r="A484" s="149"/>
      <c r="B484" s="149"/>
      <c r="C484" s="155"/>
      <c r="D484" s="149"/>
      <c r="E484" s="149"/>
      <c r="F484" s="149"/>
      <c r="G484" s="149"/>
      <c r="H484" s="149"/>
      <c r="I484" s="149"/>
      <c r="J484" s="149"/>
      <c r="K484" s="149"/>
      <c r="L484" s="149"/>
      <c r="M484" s="149"/>
      <c r="N484" s="149"/>
    </row>
    <row r="485" spans="1:14">
      <c r="A485" s="149"/>
      <c r="B485" s="149"/>
      <c r="C485" s="155"/>
      <c r="D485" s="149"/>
      <c r="E485" s="149"/>
      <c r="F485" s="149"/>
      <c r="G485" s="149"/>
      <c r="H485" s="149"/>
      <c r="I485" s="149"/>
      <c r="J485" s="149"/>
      <c r="K485" s="149"/>
      <c r="L485" s="149"/>
      <c r="M485" s="149"/>
      <c r="N485" s="149"/>
    </row>
    <row r="486" spans="1:14">
      <c r="A486" s="149"/>
      <c r="B486" s="149"/>
      <c r="C486" s="155"/>
      <c r="D486" s="149"/>
      <c r="E486" s="149"/>
      <c r="F486" s="149"/>
      <c r="G486" s="149"/>
      <c r="H486" s="149"/>
      <c r="I486" s="149"/>
      <c r="J486" s="149"/>
      <c r="K486" s="149"/>
      <c r="L486" s="149"/>
      <c r="M486" s="149"/>
      <c r="N486" s="149"/>
    </row>
    <row r="487" spans="1:14">
      <c r="A487" s="149"/>
      <c r="B487" s="149"/>
      <c r="C487" s="155"/>
      <c r="D487" s="149"/>
      <c r="E487" s="149"/>
      <c r="F487" s="149"/>
      <c r="G487" s="149"/>
      <c r="H487" s="149"/>
      <c r="I487" s="149"/>
      <c r="J487" s="149"/>
      <c r="K487" s="149"/>
      <c r="L487" s="149"/>
      <c r="M487" s="149"/>
      <c r="N487" s="149"/>
    </row>
    <row r="488" spans="1:14">
      <c r="A488" s="149"/>
      <c r="B488" s="149"/>
      <c r="C488" s="155"/>
      <c r="D488" s="149"/>
      <c r="E488" s="149"/>
      <c r="F488" s="149"/>
      <c r="G488" s="149"/>
      <c r="H488" s="149"/>
      <c r="I488" s="149"/>
      <c r="J488" s="149"/>
      <c r="K488" s="149"/>
      <c r="L488" s="149"/>
      <c r="M488" s="149"/>
      <c r="N488" s="149"/>
    </row>
    <row r="489" spans="1:14">
      <c r="A489" s="149"/>
      <c r="B489" s="149"/>
      <c r="C489" s="155"/>
      <c r="D489" s="149"/>
      <c r="E489" s="149"/>
      <c r="F489" s="149"/>
      <c r="G489" s="149"/>
      <c r="H489" s="149"/>
      <c r="I489" s="149"/>
      <c r="J489" s="149"/>
      <c r="K489" s="149"/>
      <c r="L489" s="149"/>
      <c r="M489" s="149"/>
      <c r="N489" s="149"/>
    </row>
    <row r="490" spans="1:14">
      <c r="A490" s="149"/>
      <c r="B490" s="149"/>
      <c r="C490" s="155"/>
      <c r="D490" s="149"/>
      <c r="E490" s="149"/>
      <c r="F490" s="149"/>
      <c r="G490" s="149"/>
      <c r="H490" s="149"/>
      <c r="I490" s="149"/>
      <c r="J490" s="149"/>
      <c r="K490" s="149"/>
      <c r="L490" s="149"/>
      <c r="M490" s="149"/>
      <c r="N490" s="149"/>
    </row>
    <row r="491" spans="1:14">
      <c r="A491" s="149"/>
      <c r="B491" s="149"/>
      <c r="C491" s="155"/>
      <c r="D491" s="149"/>
      <c r="E491" s="149"/>
      <c r="F491" s="149"/>
      <c r="G491" s="149"/>
      <c r="H491" s="149"/>
      <c r="I491" s="149"/>
      <c r="J491" s="149"/>
      <c r="K491" s="149"/>
      <c r="L491" s="149"/>
      <c r="M491" s="149"/>
      <c r="N491" s="149"/>
    </row>
    <row r="492" spans="1:14">
      <c r="A492" s="149"/>
      <c r="B492" s="149"/>
      <c r="C492" s="155"/>
      <c r="D492" s="149"/>
      <c r="E492" s="149"/>
      <c r="F492" s="149"/>
      <c r="G492" s="149"/>
      <c r="H492" s="149"/>
      <c r="I492" s="149"/>
      <c r="J492" s="149"/>
      <c r="K492" s="149"/>
      <c r="L492" s="149"/>
      <c r="M492" s="149"/>
      <c r="N492" s="149"/>
    </row>
    <row r="493" spans="1:14">
      <c r="A493" s="149"/>
      <c r="B493" s="149"/>
      <c r="C493" s="155"/>
      <c r="D493" s="149"/>
      <c r="E493" s="149"/>
      <c r="F493" s="149"/>
      <c r="G493" s="149"/>
      <c r="H493" s="149"/>
      <c r="I493" s="149"/>
      <c r="J493" s="149"/>
      <c r="K493" s="149"/>
      <c r="L493" s="149"/>
      <c r="M493" s="149"/>
      <c r="N493" s="149"/>
    </row>
    <row r="494" spans="1:14">
      <c r="A494" s="149"/>
      <c r="B494" s="149"/>
      <c r="C494" s="155"/>
      <c r="D494" s="149"/>
      <c r="E494" s="149"/>
      <c r="F494" s="149"/>
      <c r="G494" s="149"/>
      <c r="H494" s="149"/>
      <c r="I494" s="149"/>
      <c r="J494" s="149"/>
      <c r="K494" s="149"/>
      <c r="L494" s="149"/>
      <c r="M494" s="149"/>
      <c r="N494" s="149"/>
    </row>
    <row r="495" spans="1:14">
      <c r="A495" s="149"/>
      <c r="B495" s="149"/>
      <c r="C495" s="155"/>
      <c r="D495" s="149"/>
      <c r="E495" s="149"/>
      <c r="F495" s="149"/>
      <c r="G495" s="149"/>
      <c r="H495" s="149"/>
      <c r="I495" s="149"/>
      <c r="J495" s="149"/>
      <c r="K495" s="149"/>
      <c r="L495" s="149"/>
      <c r="M495" s="149"/>
      <c r="N495" s="149"/>
    </row>
    <row r="496" spans="1:14">
      <c r="A496" s="149"/>
      <c r="B496" s="149"/>
      <c r="C496" s="155"/>
      <c r="D496" s="149"/>
      <c r="E496" s="149"/>
      <c r="F496" s="149"/>
      <c r="G496" s="149"/>
      <c r="H496" s="149"/>
      <c r="I496" s="149"/>
      <c r="J496" s="149"/>
      <c r="K496" s="149"/>
      <c r="L496" s="149"/>
      <c r="M496" s="149"/>
      <c r="N496" s="149"/>
    </row>
    <row r="497" spans="1:14">
      <c r="A497" s="149"/>
      <c r="B497" s="149"/>
      <c r="C497" s="155"/>
      <c r="D497" s="149"/>
      <c r="E497" s="149"/>
      <c r="F497" s="149"/>
      <c r="G497" s="149"/>
      <c r="H497" s="149"/>
      <c r="I497" s="149"/>
      <c r="J497" s="149"/>
      <c r="K497" s="149"/>
      <c r="L497" s="149"/>
      <c r="M497" s="149"/>
      <c r="N497" s="149"/>
    </row>
    <row r="498" spans="1:14">
      <c r="A498" s="149"/>
      <c r="B498" s="149"/>
      <c r="C498" s="155"/>
      <c r="D498" s="149"/>
      <c r="E498" s="149"/>
      <c r="F498" s="149"/>
      <c r="G498" s="149"/>
      <c r="H498" s="149"/>
      <c r="I498" s="149"/>
      <c r="J498" s="149"/>
      <c r="K498" s="149"/>
      <c r="L498" s="149"/>
      <c r="M498" s="149"/>
      <c r="N498" s="149"/>
    </row>
    <row r="499" spans="1:14">
      <c r="A499" s="149"/>
      <c r="B499" s="149"/>
      <c r="C499" s="155"/>
      <c r="D499" s="149"/>
      <c r="E499" s="149"/>
      <c r="F499" s="149"/>
      <c r="G499" s="149"/>
      <c r="H499" s="149"/>
      <c r="I499" s="149"/>
      <c r="J499" s="149"/>
      <c r="K499" s="149"/>
      <c r="L499" s="149"/>
      <c r="M499" s="149"/>
      <c r="N499" s="149"/>
    </row>
    <row r="500" spans="1:14">
      <c r="A500" s="149"/>
      <c r="B500" s="149"/>
      <c r="C500" s="155"/>
      <c r="D500" s="149"/>
      <c r="E500" s="149"/>
      <c r="F500" s="149"/>
      <c r="G500" s="149"/>
      <c r="H500" s="149"/>
      <c r="I500" s="149"/>
      <c r="J500" s="149"/>
      <c r="K500" s="149"/>
      <c r="L500" s="149"/>
      <c r="M500" s="149"/>
      <c r="N500" s="149"/>
    </row>
    <row r="501" spans="1:14">
      <c r="A501" s="149"/>
      <c r="B501" s="149"/>
      <c r="C501" s="155"/>
      <c r="D501" s="149"/>
      <c r="E501" s="149"/>
      <c r="F501" s="149"/>
      <c r="G501" s="149"/>
      <c r="H501" s="149"/>
      <c r="I501" s="149"/>
      <c r="J501" s="149"/>
      <c r="K501" s="149"/>
      <c r="L501" s="149"/>
      <c r="M501" s="149"/>
      <c r="N501" s="149"/>
    </row>
    <row r="502" spans="1:14">
      <c r="A502" s="149"/>
      <c r="B502" s="149"/>
      <c r="C502" s="155"/>
      <c r="D502" s="149"/>
      <c r="E502" s="149"/>
      <c r="F502" s="149"/>
      <c r="G502" s="149"/>
      <c r="H502" s="149"/>
      <c r="I502" s="149"/>
      <c r="J502" s="149"/>
      <c r="K502" s="149"/>
      <c r="L502" s="149"/>
      <c r="M502" s="149"/>
      <c r="N502" s="149"/>
    </row>
    <row r="503" spans="1:14">
      <c r="A503" s="149"/>
      <c r="B503" s="149"/>
      <c r="C503" s="155"/>
      <c r="D503" s="149"/>
      <c r="E503" s="149"/>
      <c r="F503" s="149"/>
      <c r="G503" s="149"/>
      <c r="H503" s="149"/>
      <c r="I503" s="149"/>
      <c r="J503" s="149"/>
      <c r="K503" s="149"/>
      <c r="L503" s="149"/>
      <c r="M503" s="149"/>
      <c r="N503" s="149"/>
    </row>
    <row r="504" spans="1:14">
      <c r="A504" s="149"/>
      <c r="B504" s="149"/>
      <c r="C504" s="155"/>
      <c r="D504" s="149"/>
      <c r="E504" s="149"/>
      <c r="F504" s="149"/>
      <c r="G504" s="149"/>
      <c r="H504" s="149"/>
      <c r="I504" s="149"/>
      <c r="J504" s="149"/>
      <c r="K504" s="149"/>
      <c r="L504" s="149"/>
      <c r="M504" s="149"/>
      <c r="N504" s="149"/>
    </row>
    <row r="505" spans="1:14">
      <c r="A505" s="149"/>
      <c r="B505" s="149"/>
      <c r="C505" s="155"/>
      <c r="D505" s="149"/>
      <c r="E505" s="149"/>
      <c r="F505" s="149"/>
      <c r="G505" s="149"/>
      <c r="H505" s="149"/>
      <c r="I505" s="149"/>
      <c r="J505" s="149"/>
      <c r="K505" s="149"/>
      <c r="L505" s="149"/>
      <c r="M505" s="149"/>
      <c r="N505" s="149"/>
    </row>
    <row r="506" spans="1:14">
      <c r="A506" s="149"/>
      <c r="B506" s="149"/>
      <c r="C506" s="155"/>
      <c r="D506" s="149"/>
      <c r="E506" s="149"/>
      <c r="F506" s="149"/>
      <c r="G506" s="149"/>
      <c r="H506" s="149"/>
      <c r="I506" s="149"/>
      <c r="J506" s="149"/>
      <c r="K506" s="149"/>
      <c r="L506" s="149"/>
      <c r="M506" s="149"/>
      <c r="N506" s="149"/>
    </row>
    <row r="507" spans="1:14">
      <c r="A507" s="149"/>
      <c r="B507" s="149"/>
      <c r="C507" s="155"/>
      <c r="D507" s="149"/>
      <c r="E507" s="149"/>
      <c r="F507" s="149"/>
      <c r="G507" s="149"/>
      <c r="H507" s="149"/>
      <c r="I507" s="149"/>
      <c r="J507" s="149"/>
      <c r="K507" s="149"/>
      <c r="L507" s="149"/>
      <c r="M507" s="149"/>
      <c r="N507" s="149"/>
    </row>
    <row r="508" spans="1:14">
      <c r="A508" s="149"/>
      <c r="B508" s="149"/>
      <c r="C508" s="155"/>
      <c r="D508" s="149"/>
      <c r="E508" s="149"/>
      <c r="F508" s="149"/>
      <c r="G508" s="149"/>
      <c r="H508" s="149"/>
      <c r="I508" s="149"/>
      <c r="J508" s="149"/>
      <c r="K508" s="149"/>
      <c r="L508" s="149"/>
      <c r="M508" s="149"/>
      <c r="N508" s="149"/>
    </row>
    <row r="509" spans="1:14">
      <c r="A509" s="149"/>
      <c r="B509" s="149"/>
      <c r="C509" s="155"/>
      <c r="D509" s="149"/>
      <c r="E509" s="149"/>
      <c r="F509" s="149"/>
      <c r="G509" s="149"/>
      <c r="H509" s="149"/>
      <c r="I509" s="149"/>
      <c r="J509" s="149"/>
      <c r="K509" s="149"/>
      <c r="L509" s="149"/>
      <c r="M509" s="149"/>
      <c r="N509" s="149"/>
    </row>
    <row r="510" spans="1:14">
      <c r="A510" s="149"/>
      <c r="B510" s="149"/>
      <c r="C510" s="155"/>
      <c r="D510" s="149"/>
      <c r="E510" s="149"/>
      <c r="F510" s="149"/>
      <c r="G510" s="149"/>
      <c r="H510" s="149"/>
      <c r="I510" s="149"/>
      <c r="J510" s="149"/>
      <c r="K510" s="149"/>
      <c r="L510" s="149"/>
      <c r="M510" s="149"/>
      <c r="N510" s="149"/>
    </row>
    <row r="511" spans="1:14">
      <c r="A511" s="149"/>
      <c r="B511" s="149"/>
      <c r="C511" s="155"/>
      <c r="D511" s="149"/>
      <c r="E511" s="149"/>
      <c r="F511" s="149"/>
      <c r="G511" s="149"/>
      <c r="H511" s="149"/>
      <c r="I511" s="149"/>
      <c r="J511" s="149"/>
      <c r="K511" s="149"/>
      <c r="L511" s="149"/>
      <c r="M511" s="149"/>
      <c r="N511" s="149"/>
    </row>
    <row r="512" spans="1:14">
      <c r="A512" s="149"/>
      <c r="B512" s="149"/>
      <c r="C512" s="155"/>
      <c r="D512" s="149"/>
      <c r="E512" s="149"/>
      <c r="F512" s="149"/>
      <c r="G512" s="149"/>
      <c r="H512" s="149"/>
      <c r="I512" s="149"/>
      <c r="J512" s="149"/>
      <c r="K512" s="149"/>
      <c r="L512" s="149"/>
      <c r="M512" s="149"/>
      <c r="N512" s="149"/>
    </row>
    <row r="513" spans="1:14">
      <c r="A513" s="149"/>
      <c r="B513" s="149"/>
      <c r="C513" s="155"/>
      <c r="D513" s="149"/>
      <c r="E513" s="149"/>
      <c r="F513" s="149"/>
      <c r="G513" s="149"/>
      <c r="H513" s="149"/>
      <c r="I513" s="149"/>
      <c r="J513" s="149"/>
      <c r="K513" s="149"/>
      <c r="L513" s="149"/>
      <c r="M513" s="149"/>
      <c r="N513" s="149"/>
    </row>
    <row r="514" spans="1:14">
      <c r="A514" s="149"/>
      <c r="B514" s="149"/>
      <c r="C514" s="155"/>
      <c r="D514" s="149"/>
      <c r="E514" s="149"/>
      <c r="F514" s="149"/>
      <c r="G514" s="149"/>
      <c r="H514" s="149"/>
      <c r="I514" s="149"/>
      <c r="J514" s="149"/>
      <c r="K514" s="149"/>
      <c r="L514" s="149"/>
      <c r="M514" s="149"/>
      <c r="N514" s="149"/>
    </row>
    <row r="515" spans="1:14">
      <c r="A515" s="149"/>
      <c r="B515" s="149"/>
      <c r="C515" s="155"/>
      <c r="D515" s="149"/>
      <c r="E515" s="149"/>
      <c r="F515" s="149"/>
      <c r="G515" s="149"/>
      <c r="H515" s="149"/>
      <c r="I515" s="149"/>
      <c r="J515" s="149"/>
      <c r="K515" s="149"/>
      <c r="L515" s="149"/>
      <c r="M515" s="149"/>
      <c r="N515" s="149"/>
    </row>
    <row r="516" spans="1:14">
      <c r="A516" s="149"/>
      <c r="B516" s="149"/>
      <c r="C516" s="155"/>
      <c r="D516" s="149"/>
      <c r="E516" s="149"/>
      <c r="F516" s="149"/>
      <c r="G516" s="149"/>
      <c r="H516" s="149"/>
      <c r="I516" s="149"/>
      <c r="J516" s="149"/>
      <c r="K516" s="149"/>
      <c r="L516" s="149"/>
      <c r="M516" s="149"/>
      <c r="N516" s="149"/>
    </row>
    <row r="517" spans="1:14">
      <c r="A517" s="149"/>
      <c r="B517" s="149"/>
      <c r="C517" s="155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</row>
    <row r="518" spans="1:14">
      <c r="A518" s="149"/>
      <c r="B518" s="149"/>
      <c r="C518" s="155"/>
      <c r="D518" s="149"/>
      <c r="E518" s="149"/>
      <c r="F518" s="149"/>
      <c r="G518" s="149"/>
      <c r="H518" s="149"/>
      <c r="I518" s="149"/>
      <c r="J518" s="149"/>
      <c r="K518" s="149"/>
      <c r="L518" s="149"/>
      <c r="M518" s="149"/>
      <c r="N518" s="149"/>
    </row>
    <row r="519" spans="1:14">
      <c r="A519" s="149"/>
      <c r="B519" s="149"/>
      <c r="C519" s="155"/>
      <c r="D519" s="149"/>
      <c r="E519" s="149"/>
      <c r="F519" s="149"/>
      <c r="G519" s="149"/>
      <c r="H519" s="149"/>
      <c r="I519" s="149"/>
      <c r="J519" s="149"/>
      <c r="K519" s="149"/>
      <c r="L519" s="149"/>
      <c r="M519" s="149"/>
      <c r="N519" s="149"/>
    </row>
    <row r="520" spans="1:14">
      <c r="A520" s="149"/>
      <c r="B520" s="149"/>
      <c r="C520" s="155"/>
      <c r="D520" s="149"/>
      <c r="E520" s="149"/>
      <c r="F520" s="149"/>
      <c r="G520" s="149"/>
      <c r="H520" s="149"/>
      <c r="I520" s="149"/>
      <c r="J520" s="149"/>
      <c r="K520" s="149"/>
      <c r="L520" s="149"/>
      <c r="M520" s="149"/>
      <c r="N520" s="149"/>
    </row>
    <row r="521" spans="1:14">
      <c r="A521" s="149"/>
      <c r="B521" s="149"/>
      <c r="C521" s="155"/>
      <c r="D521" s="149"/>
      <c r="E521" s="149"/>
      <c r="F521" s="149"/>
      <c r="G521" s="149"/>
      <c r="H521" s="149"/>
      <c r="I521" s="149"/>
      <c r="J521" s="149"/>
      <c r="K521" s="149"/>
      <c r="L521" s="149"/>
      <c r="M521" s="149"/>
      <c r="N521" s="149"/>
    </row>
    <row r="522" spans="1:14">
      <c r="A522" s="149"/>
      <c r="B522" s="149"/>
      <c r="C522" s="155"/>
      <c r="D522" s="149"/>
      <c r="E522" s="149"/>
      <c r="F522" s="149"/>
      <c r="G522" s="149"/>
      <c r="H522" s="149"/>
      <c r="I522" s="149"/>
      <c r="J522" s="149"/>
      <c r="K522" s="149"/>
      <c r="L522" s="149"/>
      <c r="M522" s="149"/>
      <c r="N522" s="149"/>
    </row>
    <row r="523" spans="1:14">
      <c r="A523" s="149"/>
      <c r="B523" s="149"/>
      <c r="C523" s="155"/>
      <c r="D523" s="149"/>
      <c r="E523" s="149"/>
      <c r="F523" s="149"/>
      <c r="G523" s="149"/>
      <c r="H523" s="149"/>
      <c r="I523" s="149"/>
      <c r="J523" s="149"/>
      <c r="K523" s="149"/>
      <c r="L523" s="149"/>
      <c r="M523" s="149"/>
      <c r="N523" s="149"/>
    </row>
    <row r="524" spans="1:14">
      <c r="A524" s="149"/>
      <c r="B524" s="149"/>
      <c r="C524" s="155"/>
      <c r="D524" s="149"/>
      <c r="E524" s="149"/>
      <c r="F524" s="149"/>
      <c r="G524" s="149"/>
      <c r="H524" s="149"/>
      <c r="I524" s="149"/>
      <c r="J524" s="149"/>
      <c r="K524" s="149"/>
      <c r="L524" s="149"/>
      <c r="M524" s="149"/>
      <c r="N524" s="149"/>
    </row>
    <row r="525" spans="1:14">
      <c r="A525" s="149"/>
      <c r="B525" s="149"/>
      <c r="C525" s="155"/>
      <c r="D525" s="149"/>
      <c r="E525" s="149"/>
      <c r="F525" s="149"/>
      <c r="G525" s="149"/>
      <c r="H525" s="149"/>
      <c r="I525" s="149"/>
      <c r="J525" s="149"/>
      <c r="K525" s="149"/>
      <c r="L525" s="149"/>
      <c r="M525" s="149"/>
      <c r="N525" s="149"/>
    </row>
    <row r="526" spans="1:14">
      <c r="A526" s="149"/>
      <c r="B526" s="149"/>
      <c r="C526" s="155"/>
      <c r="D526" s="149"/>
      <c r="E526" s="149"/>
      <c r="F526" s="149"/>
      <c r="G526" s="149"/>
      <c r="H526" s="149"/>
      <c r="I526" s="149"/>
      <c r="J526" s="149"/>
      <c r="K526" s="149"/>
      <c r="L526" s="149"/>
      <c r="M526" s="149"/>
      <c r="N526" s="149"/>
    </row>
    <row r="527" spans="1:14">
      <c r="A527" s="149"/>
      <c r="B527" s="149"/>
      <c r="C527" s="155"/>
      <c r="D527" s="149"/>
      <c r="E527" s="149"/>
      <c r="F527" s="149"/>
      <c r="G527" s="149"/>
      <c r="H527" s="149"/>
      <c r="I527" s="149"/>
      <c r="J527" s="149"/>
      <c r="K527" s="149"/>
      <c r="L527" s="149"/>
      <c r="M527" s="149"/>
      <c r="N527" s="149"/>
    </row>
    <row r="528" spans="1:14">
      <c r="A528" s="149"/>
      <c r="B528" s="149"/>
      <c r="C528" s="155"/>
      <c r="D528" s="149"/>
      <c r="E528" s="149"/>
      <c r="F528" s="149"/>
      <c r="G528" s="149"/>
      <c r="H528" s="149"/>
      <c r="I528" s="149"/>
      <c r="J528" s="149"/>
      <c r="K528" s="149"/>
      <c r="L528" s="149"/>
      <c r="M528" s="149"/>
      <c r="N528" s="149"/>
    </row>
    <row r="529" spans="1:14">
      <c r="A529" s="149"/>
      <c r="B529" s="149"/>
      <c r="C529" s="155"/>
      <c r="D529" s="149"/>
      <c r="E529" s="149"/>
      <c r="F529" s="149"/>
      <c r="G529" s="149"/>
      <c r="H529" s="149"/>
      <c r="I529" s="149"/>
      <c r="J529" s="149"/>
      <c r="K529" s="149"/>
      <c r="L529" s="149"/>
      <c r="M529" s="149"/>
      <c r="N529" s="149"/>
    </row>
    <row r="530" spans="1:14">
      <c r="A530" s="149"/>
      <c r="B530" s="149"/>
      <c r="C530" s="155"/>
      <c r="D530" s="149"/>
      <c r="E530" s="149"/>
      <c r="F530" s="149"/>
      <c r="G530" s="149"/>
      <c r="H530" s="149"/>
      <c r="I530" s="149"/>
      <c r="J530" s="149"/>
      <c r="K530" s="149"/>
      <c r="L530" s="149"/>
      <c r="M530" s="149"/>
      <c r="N530" s="149"/>
    </row>
    <row r="531" spans="1:14">
      <c r="A531" s="149"/>
      <c r="B531" s="149"/>
      <c r="C531" s="155"/>
      <c r="D531" s="149"/>
      <c r="E531" s="149"/>
      <c r="F531" s="149"/>
      <c r="G531" s="149"/>
      <c r="H531" s="149"/>
      <c r="I531" s="149"/>
      <c r="J531" s="149"/>
      <c r="K531" s="149"/>
      <c r="L531" s="149"/>
      <c r="M531" s="149"/>
      <c r="N531" s="149"/>
    </row>
    <row r="532" spans="1:14">
      <c r="A532" s="149"/>
      <c r="B532" s="149"/>
      <c r="C532" s="155"/>
      <c r="D532" s="149"/>
      <c r="E532" s="149"/>
      <c r="F532" s="149"/>
      <c r="G532" s="149"/>
      <c r="H532" s="149"/>
      <c r="I532" s="149"/>
      <c r="J532" s="149"/>
      <c r="K532" s="149"/>
      <c r="L532" s="149"/>
      <c r="M532" s="149"/>
      <c r="N532" s="149"/>
    </row>
    <row r="533" spans="1:14">
      <c r="A533" s="149"/>
      <c r="B533" s="149"/>
      <c r="C533" s="155"/>
      <c r="D533" s="149"/>
      <c r="E533" s="149"/>
      <c r="F533" s="149"/>
      <c r="G533" s="149"/>
      <c r="H533" s="149"/>
      <c r="I533" s="149"/>
      <c r="J533" s="149"/>
      <c r="K533" s="149"/>
      <c r="L533" s="149"/>
      <c r="M533" s="149"/>
      <c r="N533" s="149"/>
    </row>
    <row r="534" spans="1:14">
      <c r="A534" s="149"/>
      <c r="B534" s="149"/>
      <c r="C534" s="155"/>
      <c r="D534" s="149"/>
      <c r="E534" s="149"/>
      <c r="F534" s="149"/>
      <c r="G534" s="149"/>
      <c r="H534" s="149"/>
      <c r="I534" s="149"/>
      <c r="J534" s="149"/>
      <c r="K534" s="149"/>
      <c r="L534" s="149"/>
      <c r="M534" s="149"/>
      <c r="N534" s="149"/>
    </row>
    <row r="535" spans="1:14">
      <c r="A535" s="149"/>
      <c r="B535" s="149"/>
      <c r="C535" s="155"/>
      <c r="D535" s="149"/>
      <c r="E535" s="149"/>
      <c r="F535" s="149"/>
      <c r="G535" s="149"/>
      <c r="H535" s="149"/>
      <c r="I535" s="149"/>
      <c r="J535" s="149"/>
      <c r="K535" s="149"/>
      <c r="L535" s="149"/>
      <c r="M535" s="149"/>
      <c r="N535" s="149"/>
    </row>
    <row r="536" spans="1:14">
      <c r="A536" s="149"/>
      <c r="B536" s="149"/>
      <c r="C536" s="155"/>
      <c r="D536" s="149"/>
      <c r="E536" s="149"/>
      <c r="F536" s="149"/>
      <c r="G536" s="149"/>
      <c r="H536" s="149"/>
      <c r="I536" s="149"/>
      <c r="J536" s="149"/>
      <c r="K536" s="149"/>
      <c r="L536" s="149"/>
      <c r="M536" s="149"/>
      <c r="N536" s="149"/>
    </row>
    <row r="537" spans="1:14">
      <c r="A537" s="149"/>
      <c r="B537" s="149"/>
      <c r="C537" s="155"/>
      <c r="D537" s="149"/>
      <c r="E537" s="149"/>
      <c r="F537" s="149"/>
      <c r="G537" s="149"/>
      <c r="H537" s="149"/>
      <c r="I537" s="149"/>
      <c r="J537" s="149"/>
      <c r="K537" s="149"/>
      <c r="L537" s="149"/>
      <c r="M537" s="149"/>
      <c r="N537" s="149"/>
    </row>
    <row r="538" spans="1:14">
      <c r="A538" s="149"/>
      <c r="B538" s="149"/>
      <c r="C538" s="155"/>
      <c r="D538" s="149"/>
      <c r="E538" s="149"/>
      <c r="F538" s="149"/>
      <c r="G538" s="149"/>
      <c r="H538" s="149"/>
      <c r="I538" s="149"/>
      <c r="J538" s="149"/>
      <c r="K538" s="149"/>
      <c r="L538" s="149"/>
      <c r="M538" s="149"/>
      <c r="N538" s="149"/>
    </row>
    <row r="539" spans="1:14">
      <c r="A539" s="149"/>
      <c r="B539" s="149"/>
      <c r="C539" s="155"/>
      <c r="D539" s="149"/>
      <c r="E539" s="149"/>
      <c r="F539" s="149"/>
      <c r="G539" s="149"/>
      <c r="H539" s="149"/>
      <c r="I539" s="149"/>
      <c r="J539" s="149"/>
      <c r="K539" s="149"/>
      <c r="L539" s="149"/>
      <c r="M539" s="149"/>
      <c r="N539" s="149"/>
    </row>
    <row r="540" spans="1:14">
      <c r="A540" s="149"/>
      <c r="B540" s="149"/>
      <c r="C540" s="155"/>
      <c r="D540" s="149"/>
      <c r="E540" s="149"/>
      <c r="F540" s="149"/>
      <c r="G540" s="149"/>
      <c r="H540" s="149"/>
      <c r="I540" s="149"/>
      <c r="J540" s="149"/>
      <c r="K540" s="149"/>
      <c r="L540" s="149"/>
      <c r="M540" s="149"/>
      <c r="N540" s="149"/>
    </row>
    <row r="541" spans="1:14">
      <c r="A541" s="149"/>
      <c r="B541" s="149"/>
      <c r="C541" s="155"/>
      <c r="D541" s="149"/>
      <c r="E541" s="149"/>
      <c r="F541" s="149"/>
      <c r="G541" s="149"/>
      <c r="H541" s="149"/>
      <c r="I541" s="149"/>
      <c r="J541" s="149"/>
      <c r="K541" s="149"/>
      <c r="L541" s="149"/>
      <c r="M541" s="149"/>
      <c r="N541" s="149"/>
    </row>
    <row r="542" spans="1:14">
      <c r="A542" s="149"/>
      <c r="B542" s="149"/>
      <c r="C542" s="155"/>
      <c r="D542" s="149"/>
      <c r="E542" s="149"/>
      <c r="F542" s="149"/>
      <c r="G542" s="149"/>
      <c r="H542" s="149"/>
      <c r="I542" s="149"/>
      <c r="J542" s="149"/>
      <c r="K542" s="149"/>
      <c r="L542" s="149"/>
      <c r="M542" s="149"/>
      <c r="N542" s="149"/>
    </row>
    <row r="543" spans="1:14">
      <c r="A543" s="149"/>
      <c r="B543" s="149"/>
      <c r="C543" s="155"/>
      <c r="D543" s="149"/>
      <c r="E543" s="149"/>
      <c r="F543" s="149"/>
      <c r="G543" s="149"/>
      <c r="H543" s="149"/>
      <c r="I543" s="149"/>
      <c r="J543" s="149"/>
      <c r="K543" s="149"/>
      <c r="L543" s="149"/>
      <c r="M543" s="149"/>
      <c r="N543" s="149"/>
    </row>
    <row r="544" spans="1:14">
      <c r="A544" s="149"/>
      <c r="B544" s="149"/>
      <c r="C544" s="155"/>
      <c r="D544" s="149"/>
      <c r="E544" s="149"/>
      <c r="F544" s="149"/>
      <c r="G544" s="149"/>
      <c r="H544" s="149"/>
      <c r="I544" s="149"/>
      <c r="J544" s="149"/>
      <c r="K544" s="149"/>
      <c r="L544" s="149"/>
      <c r="M544" s="149"/>
      <c r="N544" s="149"/>
    </row>
    <row r="545" spans="1:14">
      <c r="A545" s="149"/>
      <c r="B545" s="149"/>
      <c r="C545" s="155"/>
      <c r="D545" s="149"/>
      <c r="E545" s="149"/>
      <c r="F545" s="149"/>
      <c r="G545" s="149"/>
      <c r="H545" s="149"/>
      <c r="I545" s="149"/>
      <c r="J545" s="149"/>
      <c r="K545" s="149"/>
      <c r="L545" s="149"/>
      <c r="M545" s="149"/>
      <c r="N545" s="149"/>
    </row>
    <row r="546" spans="1:14">
      <c r="A546" s="149"/>
      <c r="B546" s="149"/>
      <c r="C546" s="155"/>
      <c r="D546" s="149"/>
      <c r="E546" s="149"/>
      <c r="F546" s="149"/>
      <c r="G546" s="149"/>
      <c r="H546" s="149"/>
      <c r="I546" s="149"/>
      <c r="J546" s="149"/>
      <c r="K546" s="149"/>
      <c r="L546" s="149"/>
      <c r="M546" s="149"/>
      <c r="N546" s="149"/>
    </row>
    <row r="547" spans="1:14">
      <c r="A547" s="149"/>
      <c r="B547" s="149"/>
      <c r="C547" s="155"/>
      <c r="D547" s="149"/>
      <c r="E547" s="149"/>
      <c r="F547" s="149"/>
      <c r="G547" s="149"/>
      <c r="H547" s="149"/>
      <c r="I547" s="149"/>
      <c r="J547" s="149"/>
      <c r="K547" s="149"/>
      <c r="L547" s="149"/>
      <c r="M547" s="149"/>
      <c r="N547" s="149"/>
    </row>
    <row r="548" spans="1:14">
      <c r="A548" s="149"/>
      <c r="B548" s="149"/>
      <c r="C548" s="155"/>
      <c r="D548" s="149"/>
      <c r="E548" s="149"/>
      <c r="F548" s="149"/>
      <c r="G548" s="149"/>
      <c r="H548" s="149"/>
      <c r="I548" s="149"/>
      <c r="J548" s="149"/>
      <c r="K548" s="149"/>
      <c r="L548" s="149"/>
      <c r="M548" s="149"/>
      <c r="N548" s="149"/>
    </row>
    <row r="549" spans="1:14">
      <c r="A549" s="149"/>
      <c r="B549" s="149"/>
      <c r="C549" s="155"/>
      <c r="D549" s="149"/>
      <c r="E549" s="149"/>
      <c r="F549" s="149"/>
      <c r="G549" s="149"/>
      <c r="H549" s="149"/>
      <c r="I549" s="149"/>
      <c r="J549" s="149"/>
      <c r="K549" s="149"/>
      <c r="L549" s="149"/>
      <c r="M549" s="149"/>
      <c r="N549" s="149"/>
    </row>
    <row r="550" spans="1:14">
      <c r="A550" s="149"/>
      <c r="B550" s="149"/>
      <c r="C550" s="155"/>
      <c r="D550" s="149"/>
      <c r="E550" s="149"/>
      <c r="F550" s="149"/>
      <c r="G550" s="149"/>
      <c r="H550" s="149"/>
      <c r="I550" s="149"/>
      <c r="J550" s="149"/>
      <c r="K550" s="149"/>
      <c r="L550" s="149"/>
      <c r="M550" s="149"/>
      <c r="N550" s="149"/>
    </row>
    <row r="551" spans="1:14">
      <c r="A551" s="149"/>
      <c r="B551" s="149"/>
      <c r="C551" s="155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</row>
    <row r="552" spans="1:14">
      <c r="A552" s="149"/>
      <c r="B552" s="149"/>
      <c r="C552" s="155"/>
      <c r="D552" s="149"/>
      <c r="E552" s="149"/>
      <c r="F552" s="149"/>
      <c r="G552" s="149"/>
      <c r="H552" s="149"/>
      <c r="I552" s="149"/>
      <c r="J552" s="149"/>
      <c r="K552" s="149"/>
      <c r="L552" s="149"/>
      <c r="M552" s="149"/>
      <c r="N552" s="149"/>
    </row>
    <row r="553" spans="1:14">
      <c r="A553" s="149"/>
      <c r="B553" s="149"/>
      <c r="C553" s="155"/>
      <c r="D553" s="149"/>
      <c r="E553" s="149"/>
      <c r="F553" s="149"/>
      <c r="G553" s="149"/>
      <c r="H553" s="149"/>
      <c r="I553" s="149"/>
      <c r="J553" s="149"/>
      <c r="K553" s="149"/>
      <c r="L553" s="149"/>
      <c r="M553" s="149"/>
      <c r="N553" s="149"/>
    </row>
    <row r="554" spans="1:14">
      <c r="A554" s="149"/>
      <c r="B554" s="149"/>
      <c r="C554" s="155"/>
      <c r="D554" s="149"/>
      <c r="E554" s="149"/>
      <c r="F554" s="149"/>
      <c r="G554" s="149"/>
      <c r="H554" s="149"/>
      <c r="I554" s="149"/>
      <c r="J554" s="149"/>
      <c r="K554" s="149"/>
      <c r="L554" s="149"/>
      <c r="M554" s="149"/>
      <c r="N554" s="149"/>
    </row>
    <row r="555" spans="1:14">
      <c r="A555" s="149"/>
      <c r="B555" s="149"/>
      <c r="C555" s="155"/>
      <c r="D555" s="149"/>
      <c r="E555" s="149"/>
      <c r="F555" s="149"/>
      <c r="G555" s="149"/>
      <c r="H555" s="149"/>
      <c r="I555" s="149"/>
      <c r="J555" s="149"/>
      <c r="K555" s="149"/>
      <c r="L555" s="149"/>
      <c r="M555" s="149"/>
      <c r="N555" s="149"/>
    </row>
    <row r="556" spans="1:14">
      <c r="A556" s="149"/>
      <c r="B556" s="149"/>
      <c r="C556" s="155"/>
      <c r="D556" s="149"/>
      <c r="E556" s="149"/>
      <c r="F556" s="149"/>
      <c r="G556" s="149"/>
      <c r="H556" s="149"/>
      <c r="I556" s="149"/>
      <c r="J556" s="149"/>
      <c r="K556" s="149"/>
      <c r="L556" s="149"/>
      <c r="M556" s="149"/>
      <c r="N556" s="149"/>
    </row>
    <row r="557" spans="1:14">
      <c r="A557" s="149"/>
      <c r="B557" s="149"/>
      <c r="C557" s="155"/>
      <c r="D557" s="149"/>
      <c r="E557" s="149"/>
      <c r="F557" s="149"/>
      <c r="G557" s="149"/>
      <c r="H557" s="149"/>
      <c r="I557" s="149"/>
      <c r="J557" s="149"/>
      <c r="K557" s="149"/>
      <c r="L557" s="149"/>
      <c r="M557" s="149"/>
      <c r="N557" s="149"/>
    </row>
    <row r="558" spans="1:14">
      <c r="A558" s="149"/>
      <c r="B558" s="149"/>
      <c r="C558" s="155"/>
      <c r="D558" s="149"/>
      <c r="E558" s="149"/>
      <c r="F558" s="149"/>
      <c r="G558" s="149"/>
      <c r="H558" s="149"/>
      <c r="I558" s="149"/>
      <c r="J558" s="149"/>
      <c r="K558" s="149"/>
      <c r="L558" s="149"/>
      <c r="M558" s="149"/>
      <c r="N558" s="149"/>
    </row>
    <row r="559" spans="1:14">
      <c r="A559" s="149"/>
      <c r="B559" s="149"/>
      <c r="C559" s="155"/>
      <c r="D559" s="149"/>
      <c r="E559" s="149"/>
      <c r="F559" s="149"/>
      <c r="G559" s="149"/>
      <c r="H559" s="149"/>
      <c r="I559" s="149"/>
      <c r="J559" s="149"/>
      <c r="K559" s="149"/>
      <c r="L559" s="149"/>
      <c r="M559" s="149"/>
      <c r="N559" s="149"/>
    </row>
    <row r="560" spans="1:14">
      <c r="A560" s="149"/>
      <c r="B560" s="149"/>
      <c r="C560" s="155"/>
      <c r="D560" s="149"/>
      <c r="E560" s="149"/>
      <c r="F560" s="149"/>
      <c r="G560" s="149"/>
      <c r="H560" s="149"/>
      <c r="I560" s="149"/>
      <c r="J560" s="149"/>
      <c r="K560" s="149"/>
      <c r="L560" s="149"/>
      <c r="M560" s="149"/>
      <c r="N560" s="149"/>
    </row>
    <row r="561" spans="1:14">
      <c r="A561" s="149"/>
      <c r="B561" s="149"/>
      <c r="C561" s="155"/>
      <c r="D561" s="149"/>
      <c r="E561" s="149"/>
      <c r="F561" s="149"/>
      <c r="G561" s="149"/>
      <c r="H561" s="149"/>
      <c r="I561" s="149"/>
      <c r="J561" s="149"/>
      <c r="K561" s="149"/>
      <c r="L561" s="149"/>
      <c r="M561" s="149"/>
      <c r="N561" s="149"/>
    </row>
    <row r="562" spans="1:14">
      <c r="A562" s="149"/>
      <c r="B562" s="149"/>
      <c r="C562" s="155"/>
      <c r="D562" s="149"/>
      <c r="E562" s="149"/>
      <c r="F562" s="149"/>
      <c r="G562" s="149"/>
      <c r="H562" s="149"/>
      <c r="I562" s="149"/>
      <c r="J562" s="149"/>
      <c r="K562" s="149"/>
      <c r="L562" s="149"/>
      <c r="M562" s="149"/>
      <c r="N562" s="149"/>
    </row>
    <row r="563" spans="1:14">
      <c r="A563" s="149"/>
      <c r="B563" s="149"/>
      <c r="C563" s="155"/>
      <c r="D563" s="149"/>
      <c r="E563" s="149"/>
      <c r="F563" s="149"/>
      <c r="G563" s="149"/>
      <c r="H563" s="149"/>
      <c r="I563" s="149"/>
      <c r="J563" s="149"/>
      <c r="K563" s="149"/>
      <c r="L563" s="149"/>
      <c r="M563" s="149"/>
      <c r="N563" s="149"/>
    </row>
    <row r="564" spans="1:14">
      <c r="A564" s="149"/>
      <c r="B564" s="149"/>
      <c r="C564" s="155"/>
      <c r="D564" s="149"/>
      <c r="E564" s="149"/>
      <c r="F564" s="149"/>
      <c r="G564" s="149"/>
      <c r="H564" s="149"/>
      <c r="I564" s="149"/>
      <c r="J564" s="149"/>
      <c r="K564" s="149"/>
      <c r="L564" s="149"/>
      <c r="M564" s="149"/>
      <c r="N564" s="149"/>
    </row>
    <row r="565" spans="1:14">
      <c r="A565" s="149"/>
      <c r="B565" s="149"/>
      <c r="C565" s="155"/>
      <c r="D565" s="149"/>
      <c r="E565" s="149"/>
      <c r="F565" s="149"/>
      <c r="G565" s="149"/>
      <c r="H565" s="149"/>
      <c r="I565" s="149"/>
      <c r="J565" s="149"/>
      <c r="K565" s="149"/>
      <c r="L565" s="149"/>
      <c r="M565" s="149"/>
      <c r="N565" s="149"/>
    </row>
    <row r="566" spans="1:14">
      <c r="A566" s="149"/>
      <c r="B566" s="149"/>
      <c r="C566" s="155"/>
      <c r="D566" s="149"/>
      <c r="E566" s="149"/>
      <c r="F566" s="149"/>
      <c r="G566" s="149"/>
      <c r="H566" s="149"/>
      <c r="I566" s="149"/>
      <c r="J566" s="149"/>
      <c r="K566" s="149"/>
      <c r="L566" s="149"/>
      <c r="M566" s="149"/>
      <c r="N566" s="149"/>
    </row>
    <row r="567" spans="1:14">
      <c r="A567" s="149"/>
      <c r="B567" s="149"/>
      <c r="C567" s="155"/>
      <c r="D567" s="149"/>
      <c r="E567" s="149"/>
      <c r="F567" s="149"/>
      <c r="G567" s="149"/>
      <c r="H567" s="149"/>
      <c r="I567" s="149"/>
      <c r="J567" s="149"/>
      <c r="K567" s="149"/>
      <c r="L567" s="149"/>
      <c r="M567" s="149"/>
      <c r="N567" s="149"/>
    </row>
    <row r="568" spans="1:14">
      <c r="A568" s="149"/>
      <c r="B568" s="149"/>
      <c r="C568" s="155"/>
      <c r="D568" s="149"/>
      <c r="E568" s="149"/>
      <c r="F568" s="149"/>
      <c r="G568" s="149"/>
      <c r="H568" s="149"/>
      <c r="I568" s="149"/>
      <c r="J568" s="149"/>
      <c r="K568" s="149"/>
      <c r="L568" s="149"/>
      <c r="M568" s="149"/>
      <c r="N568" s="149"/>
    </row>
    <row r="569" spans="1:14">
      <c r="A569" s="149"/>
      <c r="B569" s="149"/>
      <c r="C569" s="155"/>
      <c r="D569" s="149"/>
      <c r="E569" s="149"/>
      <c r="F569" s="149"/>
      <c r="G569" s="149"/>
      <c r="H569" s="149"/>
      <c r="I569" s="149"/>
      <c r="J569" s="149"/>
      <c r="K569" s="149"/>
      <c r="L569" s="149"/>
      <c r="M569" s="149"/>
      <c r="N569" s="149"/>
    </row>
    <row r="570" spans="1:14">
      <c r="A570" s="149"/>
      <c r="B570" s="149"/>
      <c r="C570" s="155"/>
      <c r="D570" s="149"/>
      <c r="E570" s="149"/>
      <c r="F570" s="149"/>
      <c r="G570" s="149"/>
      <c r="H570" s="149"/>
      <c r="I570" s="149"/>
      <c r="J570" s="149"/>
      <c r="K570" s="149"/>
      <c r="L570" s="149"/>
      <c r="M570" s="149"/>
      <c r="N570" s="149"/>
    </row>
    <row r="571" spans="1:14">
      <c r="A571" s="149"/>
      <c r="B571" s="149"/>
      <c r="C571" s="155"/>
      <c r="D571" s="149"/>
      <c r="E571" s="149"/>
      <c r="F571" s="149"/>
      <c r="G571" s="149"/>
      <c r="H571" s="149"/>
      <c r="I571" s="149"/>
      <c r="J571" s="149"/>
      <c r="K571" s="149"/>
      <c r="L571" s="149"/>
      <c r="M571" s="149"/>
      <c r="N571" s="149"/>
    </row>
    <row r="572" spans="1:14">
      <c r="A572" s="149"/>
      <c r="B572" s="149"/>
      <c r="C572" s="155"/>
      <c r="D572" s="149"/>
      <c r="E572" s="149"/>
      <c r="F572" s="149"/>
      <c r="G572" s="149"/>
      <c r="H572" s="149"/>
      <c r="I572" s="149"/>
      <c r="J572" s="149"/>
      <c r="K572" s="149"/>
      <c r="L572" s="149"/>
      <c r="M572" s="149"/>
      <c r="N572" s="149"/>
    </row>
    <row r="573" spans="1:14">
      <c r="A573" s="149"/>
      <c r="B573" s="149"/>
      <c r="C573" s="155"/>
      <c r="D573" s="149"/>
      <c r="E573" s="149"/>
      <c r="F573" s="149"/>
      <c r="G573" s="149"/>
      <c r="H573" s="149"/>
      <c r="I573" s="149"/>
      <c r="J573" s="149"/>
      <c r="K573" s="149"/>
      <c r="L573" s="149"/>
      <c r="M573" s="149"/>
      <c r="N573" s="149"/>
    </row>
    <row r="574" spans="1:14">
      <c r="A574" s="149"/>
      <c r="B574" s="149"/>
      <c r="C574" s="155"/>
      <c r="D574" s="149"/>
      <c r="E574" s="149"/>
      <c r="F574" s="149"/>
      <c r="G574" s="149"/>
      <c r="H574" s="149"/>
      <c r="I574" s="149"/>
      <c r="J574" s="149"/>
      <c r="K574" s="149"/>
      <c r="L574" s="149"/>
      <c r="M574" s="149"/>
      <c r="N574" s="149"/>
    </row>
    <row r="575" spans="1:14">
      <c r="A575" s="149"/>
      <c r="B575" s="149"/>
      <c r="C575" s="155"/>
      <c r="D575" s="149"/>
      <c r="E575" s="149"/>
      <c r="F575" s="149"/>
      <c r="G575" s="149"/>
      <c r="H575" s="149"/>
      <c r="I575" s="149"/>
      <c r="J575" s="149"/>
      <c r="K575" s="149"/>
      <c r="L575" s="149"/>
      <c r="M575" s="149"/>
      <c r="N575" s="149"/>
    </row>
    <row r="576" spans="1:14">
      <c r="A576" s="149"/>
      <c r="B576" s="149"/>
      <c r="C576" s="155"/>
      <c r="D576" s="149"/>
      <c r="E576" s="149"/>
      <c r="F576" s="149"/>
      <c r="G576" s="149"/>
      <c r="H576" s="149"/>
      <c r="I576" s="149"/>
      <c r="J576" s="149"/>
      <c r="K576" s="149"/>
      <c r="L576" s="149"/>
      <c r="M576" s="149"/>
      <c r="N576" s="149"/>
    </row>
    <row r="577" spans="1:14">
      <c r="A577" s="149"/>
      <c r="B577" s="149"/>
      <c r="C577" s="155"/>
      <c r="D577" s="149"/>
      <c r="E577" s="149"/>
      <c r="F577" s="149"/>
      <c r="G577" s="149"/>
      <c r="H577" s="149"/>
      <c r="I577" s="149"/>
      <c r="J577" s="149"/>
      <c r="K577" s="149"/>
      <c r="L577" s="149"/>
      <c r="M577" s="149"/>
      <c r="N577" s="149"/>
    </row>
    <row r="578" spans="1:14">
      <c r="A578" s="149"/>
      <c r="B578" s="149"/>
      <c r="C578" s="155"/>
      <c r="D578" s="149"/>
      <c r="E578" s="149"/>
      <c r="F578" s="149"/>
      <c r="G578" s="149"/>
      <c r="H578" s="149"/>
      <c r="I578" s="149"/>
      <c r="J578" s="149"/>
      <c r="K578" s="149"/>
      <c r="L578" s="149"/>
      <c r="M578" s="149"/>
      <c r="N578" s="149"/>
    </row>
    <row r="579" spans="1:14">
      <c r="A579" s="149"/>
      <c r="B579" s="149"/>
      <c r="C579" s="155"/>
      <c r="D579" s="149"/>
      <c r="E579" s="149"/>
      <c r="F579" s="149"/>
      <c r="G579" s="149"/>
      <c r="H579" s="149"/>
      <c r="I579" s="149"/>
      <c r="J579" s="149"/>
      <c r="K579" s="149"/>
      <c r="L579" s="149"/>
      <c r="M579" s="149"/>
      <c r="N579" s="149"/>
    </row>
    <row r="580" spans="1:14">
      <c r="A580" s="149"/>
      <c r="B580" s="149"/>
      <c r="C580" s="155"/>
      <c r="D580" s="149"/>
      <c r="E580" s="149"/>
      <c r="F580" s="149"/>
      <c r="G580" s="149"/>
      <c r="H580" s="149"/>
      <c r="I580" s="149"/>
      <c r="J580" s="149"/>
      <c r="K580" s="149"/>
      <c r="L580" s="149"/>
      <c r="M580" s="149"/>
      <c r="N580" s="149"/>
    </row>
    <row r="581" spans="1:14">
      <c r="A581" s="149"/>
      <c r="B581" s="149"/>
      <c r="C581" s="155"/>
      <c r="D581" s="149"/>
      <c r="E581" s="149"/>
      <c r="F581" s="149"/>
      <c r="G581" s="149"/>
      <c r="H581" s="149"/>
      <c r="I581" s="149"/>
      <c r="J581" s="149"/>
      <c r="K581" s="149"/>
      <c r="L581" s="149"/>
      <c r="M581" s="149"/>
      <c r="N581" s="149"/>
    </row>
    <row r="582" spans="1:14">
      <c r="A582" s="149"/>
      <c r="B582" s="149"/>
      <c r="C582" s="155"/>
      <c r="D582" s="149"/>
      <c r="E582" s="149"/>
      <c r="F582" s="149"/>
      <c r="G582" s="149"/>
      <c r="H582" s="149"/>
      <c r="I582" s="149"/>
      <c r="J582" s="149"/>
      <c r="K582" s="149"/>
      <c r="L582" s="149"/>
      <c r="M582" s="149"/>
      <c r="N582" s="149"/>
    </row>
    <row r="583" spans="1:14">
      <c r="A583" s="149"/>
      <c r="B583" s="149"/>
      <c r="C583" s="155"/>
      <c r="D583" s="149"/>
      <c r="E583" s="149"/>
      <c r="F583" s="149"/>
      <c r="G583" s="149"/>
      <c r="H583" s="149"/>
      <c r="I583" s="149"/>
      <c r="J583" s="149"/>
      <c r="K583" s="149"/>
      <c r="L583" s="149"/>
      <c r="M583" s="149"/>
      <c r="N583" s="149"/>
    </row>
    <row r="584" spans="1:14">
      <c r="A584" s="149"/>
      <c r="B584" s="149"/>
      <c r="C584" s="155"/>
      <c r="D584" s="149"/>
      <c r="E584" s="149"/>
      <c r="F584" s="149"/>
      <c r="G584" s="149"/>
      <c r="H584" s="149"/>
      <c r="I584" s="149"/>
      <c r="J584" s="149"/>
      <c r="K584" s="149"/>
      <c r="L584" s="149"/>
      <c r="M584" s="149"/>
      <c r="N584" s="149"/>
    </row>
    <row r="585" spans="1:14">
      <c r="A585" s="149"/>
      <c r="B585" s="149"/>
      <c r="C585" s="155"/>
      <c r="D585" s="149"/>
      <c r="E585" s="149"/>
      <c r="F585" s="149"/>
      <c r="G585" s="149"/>
      <c r="H585" s="149"/>
      <c r="I585" s="149"/>
      <c r="J585" s="149"/>
      <c r="K585" s="149"/>
      <c r="L585" s="149"/>
      <c r="M585" s="149"/>
      <c r="N585" s="149"/>
    </row>
    <row r="586" spans="1:14">
      <c r="A586" s="149"/>
      <c r="B586" s="149"/>
      <c r="C586" s="155"/>
      <c r="D586" s="149"/>
      <c r="E586" s="149"/>
      <c r="F586" s="149"/>
      <c r="G586" s="149"/>
      <c r="H586" s="149"/>
      <c r="I586" s="149"/>
      <c r="J586" s="149"/>
      <c r="K586" s="149"/>
      <c r="L586" s="149"/>
      <c r="M586" s="149"/>
      <c r="N586" s="149"/>
    </row>
    <row r="587" spans="1:14">
      <c r="A587" s="149"/>
      <c r="B587" s="149"/>
      <c r="C587" s="155"/>
      <c r="D587" s="149"/>
      <c r="E587" s="149"/>
      <c r="F587" s="149"/>
      <c r="G587" s="149"/>
      <c r="H587" s="149"/>
      <c r="I587" s="149"/>
      <c r="J587" s="149"/>
      <c r="K587" s="149"/>
      <c r="L587" s="149"/>
      <c r="M587" s="149"/>
      <c r="N587" s="149"/>
    </row>
    <row r="588" spans="1:14">
      <c r="A588" s="149"/>
      <c r="B588" s="149"/>
      <c r="C588" s="155"/>
      <c r="D588" s="149"/>
      <c r="E588" s="149"/>
      <c r="F588" s="149"/>
      <c r="G588" s="149"/>
      <c r="H588" s="149"/>
      <c r="I588" s="149"/>
      <c r="J588" s="149"/>
      <c r="K588" s="149"/>
      <c r="L588" s="149"/>
      <c r="M588" s="149"/>
      <c r="N588" s="149"/>
    </row>
    <row r="589" spans="1:14">
      <c r="A589" s="149"/>
      <c r="B589" s="149"/>
      <c r="C589" s="155"/>
      <c r="D589" s="149"/>
      <c r="E589" s="149"/>
      <c r="F589" s="149"/>
      <c r="G589" s="149"/>
      <c r="H589" s="149"/>
      <c r="I589" s="149"/>
      <c r="J589" s="149"/>
      <c r="K589" s="149"/>
      <c r="L589" s="149"/>
      <c r="M589" s="149"/>
      <c r="N589" s="149"/>
    </row>
    <row r="590" spans="1:14">
      <c r="A590" s="149"/>
      <c r="B590" s="149"/>
      <c r="C590" s="155"/>
      <c r="D590" s="149"/>
      <c r="E590" s="149"/>
      <c r="F590" s="149"/>
      <c r="G590" s="149"/>
      <c r="H590" s="149"/>
      <c r="I590" s="149"/>
      <c r="J590" s="149"/>
      <c r="K590" s="149"/>
      <c r="L590" s="149"/>
      <c r="M590" s="149"/>
      <c r="N590" s="149"/>
    </row>
    <row r="591" spans="1:14">
      <c r="A591" s="149"/>
      <c r="B591" s="149"/>
      <c r="C591" s="155"/>
      <c r="D591" s="149"/>
      <c r="E591" s="149"/>
      <c r="F591" s="149"/>
      <c r="G591" s="149"/>
      <c r="H591" s="149"/>
      <c r="I591" s="149"/>
      <c r="J591" s="149"/>
      <c r="K591" s="149"/>
      <c r="L591" s="149"/>
      <c r="M591" s="149"/>
      <c r="N591" s="149"/>
    </row>
    <row r="592" spans="1:14">
      <c r="A592" s="149"/>
      <c r="B592" s="149"/>
      <c r="C592" s="155"/>
      <c r="D592" s="149"/>
      <c r="E592" s="149"/>
      <c r="F592" s="149"/>
      <c r="G592" s="149"/>
      <c r="H592" s="149"/>
      <c r="I592" s="149"/>
      <c r="J592" s="149"/>
      <c r="K592" s="149"/>
      <c r="L592" s="149"/>
      <c r="M592" s="149"/>
      <c r="N592" s="149"/>
    </row>
    <row r="593" spans="1:14">
      <c r="A593" s="149"/>
      <c r="B593" s="149"/>
      <c r="C593" s="155"/>
      <c r="D593" s="149"/>
      <c r="E593" s="149"/>
      <c r="F593" s="149"/>
      <c r="G593" s="149"/>
      <c r="H593" s="149"/>
      <c r="I593" s="149"/>
      <c r="J593" s="149"/>
      <c r="K593" s="149"/>
      <c r="L593" s="149"/>
      <c r="M593" s="149"/>
      <c r="N593" s="149"/>
    </row>
    <row r="594" spans="1:14">
      <c r="A594" s="149"/>
      <c r="B594" s="149"/>
      <c r="C594" s="155"/>
      <c r="D594" s="149"/>
      <c r="E594" s="149"/>
      <c r="F594" s="149"/>
      <c r="G594" s="149"/>
      <c r="H594" s="149"/>
      <c r="I594" s="149"/>
      <c r="J594" s="149"/>
      <c r="K594" s="149"/>
      <c r="L594" s="149"/>
      <c r="M594" s="149"/>
      <c r="N594" s="149"/>
    </row>
    <row r="595" spans="1:14">
      <c r="A595" s="149"/>
      <c r="B595" s="149"/>
      <c r="C595" s="155"/>
      <c r="D595" s="149"/>
      <c r="E595" s="149"/>
      <c r="F595" s="149"/>
      <c r="G595" s="149"/>
      <c r="H595" s="149"/>
      <c r="I595" s="149"/>
      <c r="J595" s="149"/>
      <c r="K595" s="149"/>
      <c r="L595" s="149"/>
      <c r="M595" s="149"/>
      <c r="N595" s="149"/>
    </row>
    <row r="596" spans="1:14">
      <c r="A596" s="149"/>
      <c r="B596" s="149"/>
      <c r="C596" s="155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</row>
    <row r="597" spans="1:14">
      <c r="A597" s="149"/>
      <c r="B597" s="149"/>
      <c r="C597" s="155"/>
      <c r="D597" s="149"/>
      <c r="E597" s="149"/>
      <c r="F597" s="149"/>
      <c r="G597" s="149"/>
      <c r="H597" s="149"/>
      <c r="I597" s="149"/>
      <c r="J597" s="149"/>
      <c r="K597" s="149"/>
      <c r="L597" s="149"/>
      <c r="M597" s="149"/>
      <c r="N597" s="149"/>
    </row>
    <row r="598" spans="1:14">
      <c r="A598" s="149"/>
      <c r="B598" s="149"/>
      <c r="C598" s="155"/>
      <c r="D598" s="149"/>
      <c r="E598" s="149"/>
      <c r="F598" s="149"/>
      <c r="G598" s="149"/>
      <c r="H598" s="149"/>
      <c r="I598" s="149"/>
      <c r="J598" s="149"/>
      <c r="K598" s="149"/>
      <c r="L598" s="149"/>
      <c r="M598" s="149"/>
      <c r="N598" s="149"/>
    </row>
    <row r="599" spans="1:14">
      <c r="A599" s="149"/>
      <c r="B599" s="149"/>
      <c r="C599" s="155"/>
      <c r="D599" s="149"/>
      <c r="E599" s="149"/>
      <c r="F599" s="149"/>
      <c r="G599" s="149"/>
      <c r="H599" s="149"/>
      <c r="I599" s="149"/>
      <c r="J599" s="149"/>
      <c r="K599" s="149"/>
      <c r="L599" s="149"/>
      <c r="M599" s="149"/>
      <c r="N599" s="149"/>
    </row>
    <row r="600" spans="1:14">
      <c r="A600" s="149"/>
      <c r="B600" s="149"/>
      <c r="C600" s="155"/>
      <c r="D600" s="149"/>
      <c r="E600" s="149"/>
      <c r="F600" s="149"/>
      <c r="G600" s="149"/>
      <c r="H600" s="149"/>
      <c r="I600" s="149"/>
      <c r="J600" s="149"/>
      <c r="K600" s="149"/>
      <c r="L600" s="149"/>
      <c r="M600" s="149"/>
      <c r="N600" s="149"/>
    </row>
    <row r="601" spans="1:14">
      <c r="A601" s="149"/>
      <c r="B601" s="149"/>
      <c r="C601" s="155"/>
      <c r="D601" s="149"/>
      <c r="E601" s="149"/>
      <c r="F601" s="149"/>
      <c r="G601" s="149"/>
      <c r="H601" s="149"/>
      <c r="I601" s="149"/>
      <c r="J601" s="149"/>
      <c r="K601" s="149"/>
      <c r="L601" s="149"/>
      <c r="M601" s="149"/>
      <c r="N601" s="149"/>
    </row>
    <row r="602" spans="1:14">
      <c r="A602" s="149"/>
      <c r="B602" s="149"/>
      <c r="C602" s="155"/>
      <c r="D602" s="149"/>
      <c r="E602" s="149"/>
      <c r="F602" s="149"/>
      <c r="G602" s="149"/>
      <c r="H602" s="149"/>
      <c r="I602" s="149"/>
      <c r="J602" s="149"/>
      <c r="K602" s="149"/>
      <c r="L602" s="149"/>
      <c r="M602" s="149"/>
      <c r="N602" s="149"/>
    </row>
    <row r="603" spans="1:14">
      <c r="A603" s="149"/>
      <c r="B603" s="149"/>
      <c r="C603" s="155"/>
      <c r="D603" s="149"/>
      <c r="E603" s="149"/>
      <c r="F603" s="149"/>
      <c r="G603" s="149"/>
      <c r="H603" s="149"/>
      <c r="I603" s="149"/>
      <c r="J603" s="149"/>
      <c r="K603" s="149"/>
      <c r="L603" s="149"/>
      <c r="M603" s="149"/>
      <c r="N603" s="149"/>
    </row>
    <row r="604" spans="1:14">
      <c r="A604" s="149"/>
      <c r="B604" s="149"/>
      <c r="C604" s="155"/>
      <c r="D604" s="149"/>
      <c r="E604" s="149"/>
      <c r="F604" s="149"/>
      <c r="G604" s="149"/>
      <c r="H604" s="149"/>
      <c r="I604" s="149"/>
      <c r="J604" s="149"/>
      <c r="K604" s="149"/>
      <c r="L604" s="149"/>
      <c r="M604" s="149"/>
      <c r="N604" s="149"/>
    </row>
    <row r="605" spans="1:14">
      <c r="A605" s="149"/>
      <c r="B605" s="149"/>
      <c r="C605" s="155"/>
      <c r="D605" s="149"/>
      <c r="E605" s="149"/>
      <c r="F605" s="149"/>
      <c r="G605" s="149"/>
      <c r="H605" s="149"/>
      <c r="I605" s="149"/>
      <c r="J605" s="149"/>
      <c r="K605" s="149"/>
      <c r="L605" s="149"/>
      <c r="M605" s="149"/>
      <c r="N605" s="149"/>
    </row>
    <row r="606" spans="1:14">
      <c r="A606" s="149"/>
      <c r="B606" s="149"/>
      <c r="C606" s="155"/>
      <c r="D606" s="149"/>
      <c r="E606" s="149"/>
      <c r="F606" s="149"/>
      <c r="G606" s="149"/>
      <c r="H606" s="149"/>
      <c r="I606" s="149"/>
      <c r="J606" s="149"/>
      <c r="K606" s="149"/>
      <c r="L606" s="149"/>
      <c r="M606" s="149"/>
      <c r="N606" s="149"/>
    </row>
    <row r="607" spans="1:14">
      <c r="A607" s="149"/>
      <c r="B607" s="149"/>
      <c r="C607" s="155"/>
      <c r="D607" s="149"/>
      <c r="E607" s="149"/>
      <c r="F607" s="149"/>
      <c r="G607" s="149"/>
      <c r="H607" s="149"/>
      <c r="I607" s="149"/>
      <c r="J607" s="149"/>
      <c r="K607" s="149"/>
      <c r="L607" s="149"/>
      <c r="M607" s="149"/>
      <c r="N607" s="149"/>
    </row>
    <row r="608" spans="1:14">
      <c r="A608" s="149"/>
      <c r="B608" s="149"/>
      <c r="C608" s="155"/>
      <c r="D608" s="149"/>
      <c r="E608" s="149"/>
      <c r="F608" s="149"/>
      <c r="G608" s="149"/>
      <c r="H608" s="149"/>
      <c r="I608" s="149"/>
      <c r="J608" s="149"/>
      <c r="K608" s="149"/>
      <c r="L608" s="149"/>
      <c r="M608" s="149"/>
      <c r="N608" s="149"/>
    </row>
    <row r="609" spans="1:14">
      <c r="A609" s="149"/>
      <c r="B609" s="149"/>
      <c r="C609" s="155"/>
      <c r="D609" s="149"/>
      <c r="E609" s="149"/>
      <c r="F609" s="149"/>
      <c r="G609" s="149"/>
      <c r="H609" s="149"/>
      <c r="I609" s="149"/>
      <c r="J609" s="149"/>
      <c r="K609" s="149"/>
      <c r="L609" s="149"/>
      <c r="M609" s="149"/>
      <c r="N609" s="149"/>
    </row>
    <row r="610" spans="1:14">
      <c r="A610" s="149"/>
      <c r="B610" s="149"/>
      <c r="C610" s="155"/>
      <c r="D610" s="149"/>
      <c r="E610" s="149"/>
      <c r="F610" s="149"/>
      <c r="G610" s="149"/>
      <c r="H610" s="149"/>
      <c r="I610" s="149"/>
      <c r="J610" s="149"/>
      <c r="K610" s="149"/>
      <c r="L610" s="149"/>
      <c r="M610" s="149"/>
      <c r="N610" s="149"/>
    </row>
    <row r="611" spans="1:14">
      <c r="A611" s="149"/>
      <c r="B611" s="149"/>
      <c r="C611" s="155"/>
      <c r="D611" s="149"/>
      <c r="E611" s="149"/>
      <c r="F611" s="149"/>
      <c r="G611" s="149"/>
      <c r="H611" s="149"/>
      <c r="I611" s="149"/>
      <c r="J611" s="149"/>
      <c r="K611" s="149"/>
      <c r="L611" s="149"/>
      <c r="M611" s="149"/>
      <c r="N611" s="149"/>
    </row>
    <row r="612" spans="1:14">
      <c r="A612" s="149"/>
      <c r="B612" s="149"/>
      <c r="C612" s="155"/>
      <c r="D612" s="149"/>
      <c r="E612" s="149"/>
      <c r="F612" s="149"/>
      <c r="G612" s="149"/>
      <c r="H612" s="149"/>
      <c r="I612" s="149"/>
      <c r="J612" s="149"/>
      <c r="K612" s="149"/>
      <c r="L612" s="149"/>
      <c r="M612" s="149"/>
      <c r="N612" s="149"/>
    </row>
    <row r="613" spans="1:14">
      <c r="A613" s="149"/>
      <c r="B613" s="149"/>
      <c r="C613" s="155"/>
      <c r="D613" s="149"/>
      <c r="E613" s="149"/>
      <c r="F613" s="149"/>
      <c r="G613" s="149"/>
      <c r="H613" s="149"/>
      <c r="I613" s="149"/>
      <c r="J613" s="149"/>
      <c r="K613" s="149"/>
      <c r="L613" s="149"/>
      <c r="M613" s="149"/>
      <c r="N613" s="149"/>
    </row>
    <row r="614" spans="1:14">
      <c r="A614" s="149"/>
      <c r="B614" s="149"/>
      <c r="C614" s="155"/>
      <c r="D614" s="149"/>
      <c r="E614" s="149"/>
      <c r="F614" s="149"/>
      <c r="G614" s="149"/>
      <c r="H614" s="149"/>
      <c r="I614" s="149"/>
      <c r="J614" s="149"/>
      <c r="K614" s="149"/>
      <c r="L614" s="149"/>
      <c r="M614" s="149"/>
      <c r="N614" s="149"/>
    </row>
    <row r="615" spans="1:14">
      <c r="A615" s="149"/>
      <c r="B615" s="149"/>
      <c r="C615" s="155"/>
      <c r="D615" s="149"/>
      <c r="E615" s="149"/>
      <c r="F615" s="149"/>
      <c r="G615" s="149"/>
      <c r="H615" s="149"/>
      <c r="I615" s="149"/>
      <c r="J615" s="149"/>
      <c r="K615" s="149"/>
      <c r="L615" s="149"/>
      <c r="M615" s="149"/>
      <c r="N615" s="149"/>
    </row>
    <row r="616" spans="1:14">
      <c r="A616" s="149"/>
      <c r="B616" s="149"/>
      <c r="C616" s="155"/>
      <c r="D616" s="149"/>
      <c r="E616" s="149"/>
      <c r="F616" s="149"/>
      <c r="G616" s="149"/>
      <c r="H616" s="149"/>
      <c r="I616" s="149"/>
      <c r="J616" s="149"/>
      <c r="K616" s="149"/>
      <c r="L616" s="149"/>
      <c r="M616" s="149"/>
      <c r="N616" s="149"/>
    </row>
    <row r="617" spans="1:14">
      <c r="A617" s="149"/>
      <c r="B617" s="149"/>
      <c r="C617" s="155"/>
      <c r="D617" s="149"/>
      <c r="E617" s="149"/>
      <c r="F617" s="149"/>
      <c r="G617" s="149"/>
      <c r="H617" s="149"/>
      <c r="I617" s="149"/>
      <c r="J617" s="149"/>
      <c r="K617" s="149"/>
      <c r="L617" s="149"/>
      <c r="M617" s="149"/>
      <c r="N617" s="149"/>
    </row>
    <row r="618" spans="1:14">
      <c r="A618" s="149"/>
      <c r="B618" s="149"/>
      <c r="C618" s="155"/>
      <c r="D618" s="149"/>
      <c r="E618" s="149"/>
      <c r="F618" s="149"/>
      <c r="G618" s="149"/>
      <c r="H618" s="149"/>
      <c r="I618" s="149"/>
      <c r="J618" s="149"/>
      <c r="K618" s="149"/>
      <c r="L618" s="149"/>
      <c r="M618" s="149"/>
      <c r="N618" s="149"/>
    </row>
    <row r="619" spans="1:14">
      <c r="A619" s="149"/>
      <c r="B619" s="149"/>
      <c r="C619" s="155"/>
      <c r="D619" s="149"/>
      <c r="E619" s="149"/>
      <c r="F619" s="149"/>
      <c r="G619" s="149"/>
      <c r="H619" s="149"/>
      <c r="I619" s="149"/>
      <c r="J619" s="149"/>
      <c r="K619" s="149"/>
      <c r="L619" s="149"/>
      <c r="M619" s="149"/>
      <c r="N619" s="149"/>
    </row>
    <row r="620" spans="1:14">
      <c r="A620" s="149"/>
      <c r="B620" s="149"/>
      <c r="C620" s="155"/>
      <c r="D620" s="149"/>
      <c r="E620" s="149"/>
      <c r="F620" s="149"/>
      <c r="G620" s="149"/>
      <c r="H620" s="149"/>
      <c r="I620" s="149"/>
      <c r="J620" s="149"/>
      <c r="K620" s="149"/>
      <c r="L620" s="149"/>
      <c r="M620" s="149"/>
      <c r="N620" s="149"/>
    </row>
    <row r="621" spans="1:14">
      <c r="A621" s="149"/>
      <c r="B621" s="149"/>
      <c r="C621" s="155"/>
      <c r="D621" s="149"/>
      <c r="E621" s="149"/>
      <c r="F621" s="149"/>
      <c r="G621" s="149"/>
      <c r="H621" s="149"/>
      <c r="I621" s="149"/>
      <c r="J621" s="149"/>
      <c r="K621" s="149"/>
      <c r="L621" s="149"/>
      <c r="M621" s="149"/>
      <c r="N621" s="149"/>
    </row>
    <row r="622" spans="1:14">
      <c r="A622" s="149"/>
      <c r="B622" s="149"/>
      <c r="C622" s="155"/>
      <c r="D622" s="149"/>
      <c r="E622" s="149"/>
      <c r="F622" s="149"/>
      <c r="G622" s="149"/>
      <c r="H622" s="149"/>
      <c r="I622" s="149"/>
      <c r="J622" s="149"/>
      <c r="K622" s="149"/>
      <c r="L622" s="149"/>
      <c r="M622" s="149"/>
      <c r="N622" s="149"/>
    </row>
    <row r="623" spans="1:14">
      <c r="A623" s="149"/>
      <c r="B623" s="149"/>
      <c r="C623" s="155"/>
      <c r="D623" s="149"/>
      <c r="E623" s="149"/>
      <c r="F623" s="149"/>
      <c r="G623" s="149"/>
      <c r="H623" s="149"/>
      <c r="I623" s="149"/>
      <c r="J623" s="149"/>
      <c r="K623" s="149"/>
      <c r="L623" s="149"/>
      <c r="M623" s="149"/>
      <c r="N623" s="149"/>
    </row>
    <row r="624" spans="1:14">
      <c r="A624" s="149"/>
      <c r="B624" s="149"/>
      <c r="C624" s="155"/>
      <c r="D624" s="149"/>
      <c r="E624" s="149"/>
      <c r="F624" s="149"/>
      <c r="G624" s="149"/>
      <c r="H624" s="149"/>
      <c r="I624" s="149"/>
      <c r="J624" s="149"/>
      <c r="K624" s="149"/>
      <c r="L624" s="149"/>
      <c r="M624" s="149"/>
      <c r="N624" s="149"/>
    </row>
    <row r="625" spans="1:14">
      <c r="A625" s="149"/>
      <c r="B625" s="149"/>
      <c r="C625" s="155"/>
      <c r="D625" s="149"/>
      <c r="E625" s="149"/>
      <c r="F625" s="149"/>
      <c r="G625" s="149"/>
      <c r="H625" s="149"/>
      <c r="I625" s="149"/>
      <c r="J625" s="149"/>
      <c r="K625" s="149"/>
      <c r="L625" s="149"/>
      <c r="M625" s="149"/>
      <c r="N625" s="149"/>
    </row>
    <row r="626" spans="1:14">
      <c r="A626" s="149"/>
      <c r="B626" s="149"/>
      <c r="C626" s="155"/>
      <c r="D626" s="149"/>
      <c r="E626" s="149"/>
      <c r="F626" s="149"/>
      <c r="G626" s="149"/>
      <c r="H626" s="149"/>
      <c r="I626" s="149"/>
      <c r="J626" s="149"/>
      <c r="K626" s="149"/>
      <c r="L626" s="149"/>
      <c r="M626" s="149"/>
      <c r="N626" s="149"/>
    </row>
    <row r="627" spans="1:14">
      <c r="A627" s="149"/>
      <c r="B627" s="149"/>
      <c r="C627" s="155"/>
      <c r="D627" s="149"/>
      <c r="E627" s="149"/>
      <c r="F627" s="149"/>
      <c r="G627" s="149"/>
      <c r="H627" s="149"/>
      <c r="I627" s="149"/>
      <c r="J627" s="149"/>
      <c r="K627" s="149"/>
      <c r="L627" s="149"/>
      <c r="M627" s="149"/>
      <c r="N627" s="149"/>
    </row>
    <row r="628" spans="1:14">
      <c r="A628" s="149"/>
      <c r="B628" s="149"/>
      <c r="C628" s="155"/>
      <c r="D628" s="149"/>
      <c r="E628" s="149"/>
      <c r="F628" s="149"/>
      <c r="G628" s="149"/>
      <c r="H628" s="149"/>
      <c r="I628" s="149"/>
      <c r="J628" s="149"/>
      <c r="K628" s="149"/>
      <c r="L628" s="149"/>
      <c r="M628" s="149"/>
      <c r="N628" s="149"/>
    </row>
    <row r="629" spans="1:14">
      <c r="A629" s="149"/>
      <c r="B629" s="149"/>
      <c r="C629" s="155"/>
      <c r="D629" s="149"/>
      <c r="E629" s="149"/>
      <c r="F629" s="149"/>
      <c r="G629" s="149"/>
      <c r="H629" s="149"/>
      <c r="I629" s="149"/>
      <c r="J629" s="149"/>
      <c r="K629" s="149"/>
      <c r="L629" s="149"/>
      <c r="M629" s="149"/>
      <c r="N629" s="149"/>
    </row>
    <row r="630" spans="1:14">
      <c r="A630" s="149"/>
      <c r="B630" s="149"/>
      <c r="C630" s="155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</row>
    <row r="631" spans="1:14">
      <c r="A631" s="149"/>
      <c r="B631" s="149"/>
      <c r="C631" s="155"/>
      <c r="D631" s="149"/>
      <c r="E631" s="149"/>
      <c r="F631" s="149"/>
      <c r="G631" s="149"/>
      <c r="H631" s="149"/>
      <c r="I631" s="149"/>
      <c r="J631" s="149"/>
      <c r="K631" s="149"/>
      <c r="L631" s="149"/>
      <c r="M631" s="149"/>
      <c r="N631" s="149"/>
    </row>
    <row r="632" spans="1:14">
      <c r="A632" s="149"/>
      <c r="B632" s="149"/>
      <c r="C632" s="155"/>
      <c r="D632" s="149"/>
      <c r="E632" s="149"/>
      <c r="F632" s="149"/>
      <c r="G632" s="149"/>
      <c r="H632" s="149"/>
      <c r="I632" s="149"/>
      <c r="J632" s="149"/>
      <c r="K632" s="149"/>
      <c r="L632" s="149"/>
      <c r="M632" s="149"/>
      <c r="N632" s="149"/>
    </row>
    <row r="633" spans="1:14">
      <c r="A633" s="149"/>
      <c r="B633" s="149"/>
      <c r="C633" s="155"/>
      <c r="D633" s="149"/>
      <c r="E633" s="149"/>
      <c r="F633" s="149"/>
      <c r="G633" s="149"/>
      <c r="H633" s="149"/>
      <c r="I633" s="149"/>
      <c r="J633" s="149"/>
      <c r="K633" s="149"/>
      <c r="L633" s="149"/>
      <c r="M633" s="149"/>
      <c r="N633" s="149"/>
    </row>
    <row r="634" spans="1:14">
      <c r="A634" s="149"/>
      <c r="B634" s="149"/>
      <c r="C634" s="155"/>
      <c r="D634" s="149"/>
      <c r="E634" s="149"/>
      <c r="F634" s="149"/>
      <c r="G634" s="149"/>
      <c r="H634" s="149"/>
      <c r="I634" s="149"/>
      <c r="J634" s="149"/>
      <c r="K634" s="149"/>
      <c r="L634" s="149"/>
      <c r="M634" s="149"/>
      <c r="N634" s="149"/>
    </row>
    <row r="635" spans="1:14">
      <c r="A635" s="149"/>
      <c r="B635" s="149"/>
      <c r="C635" s="155"/>
      <c r="D635" s="149"/>
      <c r="E635" s="149"/>
      <c r="F635" s="149"/>
      <c r="G635" s="149"/>
      <c r="H635" s="149"/>
      <c r="I635" s="149"/>
      <c r="J635" s="149"/>
      <c r="K635" s="149"/>
      <c r="L635" s="149"/>
      <c r="M635" s="149"/>
      <c r="N635" s="149"/>
    </row>
    <row r="636" spans="1:14">
      <c r="A636" s="149"/>
      <c r="B636" s="149"/>
      <c r="C636" s="155"/>
      <c r="D636" s="149"/>
      <c r="E636" s="149"/>
      <c r="F636" s="149"/>
      <c r="G636" s="149"/>
      <c r="H636" s="149"/>
      <c r="I636" s="149"/>
      <c r="J636" s="149"/>
      <c r="K636" s="149"/>
      <c r="L636" s="149"/>
      <c r="M636" s="149"/>
      <c r="N636" s="149"/>
    </row>
    <row r="637" spans="1:14">
      <c r="A637" s="149"/>
      <c r="B637" s="149"/>
      <c r="C637" s="155"/>
      <c r="D637" s="149"/>
      <c r="E637" s="149"/>
      <c r="F637" s="149"/>
      <c r="G637" s="149"/>
      <c r="H637" s="149"/>
      <c r="I637" s="149"/>
      <c r="J637" s="149"/>
      <c r="K637" s="149"/>
      <c r="L637" s="149"/>
      <c r="M637" s="149"/>
      <c r="N637" s="149"/>
    </row>
    <row r="638" spans="1:14">
      <c r="A638" s="149"/>
      <c r="B638" s="149"/>
      <c r="C638" s="155"/>
      <c r="D638" s="149"/>
      <c r="E638" s="149"/>
      <c r="F638" s="149"/>
      <c r="G638" s="149"/>
      <c r="H638" s="149"/>
      <c r="I638" s="149"/>
      <c r="J638" s="149"/>
      <c r="K638" s="149"/>
      <c r="L638" s="149"/>
      <c r="M638" s="149"/>
      <c r="N638" s="149"/>
    </row>
    <row r="639" spans="1:14">
      <c r="A639" s="149"/>
      <c r="B639" s="149"/>
      <c r="C639" s="155"/>
      <c r="D639" s="149"/>
      <c r="E639" s="149"/>
      <c r="F639" s="149"/>
      <c r="G639" s="149"/>
      <c r="H639" s="149"/>
      <c r="I639" s="149"/>
      <c r="J639" s="149"/>
      <c r="K639" s="149"/>
      <c r="L639" s="149"/>
      <c r="M639" s="149"/>
      <c r="N639" s="149"/>
    </row>
    <row r="640" spans="1:14">
      <c r="A640" s="149"/>
      <c r="B640" s="149"/>
      <c r="C640" s="155"/>
      <c r="D640" s="149"/>
      <c r="E640" s="149"/>
      <c r="F640" s="149"/>
      <c r="G640" s="149"/>
      <c r="H640" s="149"/>
      <c r="I640" s="149"/>
      <c r="J640" s="149"/>
      <c r="K640" s="149"/>
      <c r="L640" s="149"/>
      <c r="M640" s="149"/>
      <c r="N640" s="149"/>
    </row>
    <row r="641" spans="1:14">
      <c r="A641" s="149"/>
      <c r="B641" s="149"/>
      <c r="C641" s="155"/>
      <c r="D641" s="149"/>
      <c r="E641" s="149"/>
      <c r="F641" s="149"/>
      <c r="G641" s="149"/>
      <c r="H641" s="149"/>
      <c r="I641" s="149"/>
      <c r="J641" s="149"/>
      <c r="K641" s="149"/>
      <c r="L641" s="149"/>
      <c r="M641" s="149"/>
      <c r="N641" s="149"/>
    </row>
    <row r="642" spans="1:14">
      <c r="A642" s="149"/>
      <c r="B642" s="149"/>
      <c r="C642" s="155"/>
      <c r="D642" s="149"/>
      <c r="E642" s="149"/>
      <c r="F642" s="149"/>
      <c r="G642" s="149"/>
      <c r="H642" s="149"/>
      <c r="I642" s="149"/>
      <c r="J642" s="149"/>
      <c r="K642" s="149"/>
      <c r="L642" s="149"/>
      <c r="M642" s="149"/>
      <c r="N642" s="149"/>
    </row>
    <row r="643" spans="1:14">
      <c r="A643" s="149"/>
      <c r="B643" s="149"/>
      <c r="C643" s="155"/>
      <c r="D643" s="149"/>
      <c r="E643" s="149"/>
      <c r="F643" s="149"/>
      <c r="G643" s="149"/>
      <c r="H643" s="149"/>
      <c r="I643" s="149"/>
      <c r="J643" s="149"/>
      <c r="K643" s="149"/>
      <c r="L643" s="149"/>
      <c r="M643" s="149"/>
      <c r="N643" s="149"/>
    </row>
    <row r="644" spans="1:14">
      <c r="A644" s="149"/>
      <c r="B644" s="149"/>
      <c r="C644" s="155"/>
      <c r="D644" s="149"/>
      <c r="E644" s="149"/>
      <c r="F644" s="149"/>
      <c r="G644" s="149"/>
      <c r="H644" s="149"/>
      <c r="I644" s="149"/>
      <c r="J644" s="149"/>
      <c r="K644" s="149"/>
      <c r="L644" s="149"/>
      <c r="M644" s="149"/>
      <c r="N644" s="149"/>
    </row>
    <row r="645" spans="1:14">
      <c r="A645" s="149"/>
      <c r="B645" s="149"/>
      <c r="C645" s="155"/>
      <c r="D645" s="149"/>
      <c r="E645" s="149"/>
      <c r="F645" s="149"/>
      <c r="G645" s="149"/>
      <c r="H645" s="149"/>
      <c r="I645" s="149"/>
      <c r="J645" s="149"/>
      <c r="K645" s="149"/>
      <c r="L645" s="149"/>
      <c r="M645" s="149"/>
      <c r="N645" s="149"/>
    </row>
    <row r="646" spans="1:14">
      <c r="A646" s="149"/>
      <c r="B646" s="149"/>
      <c r="C646" s="155"/>
      <c r="D646" s="149"/>
      <c r="E646" s="149"/>
      <c r="F646" s="149"/>
      <c r="G646" s="149"/>
      <c r="H646" s="149"/>
      <c r="I646" s="149"/>
      <c r="J646" s="149"/>
      <c r="K646" s="149"/>
      <c r="L646" s="149"/>
      <c r="M646" s="149"/>
      <c r="N646" s="149"/>
    </row>
    <row r="647" spans="1:14">
      <c r="A647" s="149"/>
      <c r="B647" s="149"/>
      <c r="C647" s="155"/>
      <c r="D647" s="149"/>
      <c r="E647" s="149"/>
      <c r="F647" s="149"/>
      <c r="G647" s="149"/>
      <c r="H647" s="149"/>
      <c r="I647" s="149"/>
      <c r="J647" s="149"/>
      <c r="K647" s="149"/>
      <c r="L647" s="149"/>
      <c r="M647" s="149"/>
      <c r="N647" s="149"/>
    </row>
    <row r="648" spans="1:14">
      <c r="A648" s="149"/>
      <c r="B648" s="149"/>
      <c r="C648" s="155"/>
      <c r="D648" s="149"/>
      <c r="E648" s="149"/>
      <c r="F648" s="149"/>
      <c r="G648" s="149"/>
      <c r="H648" s="149"/>
      <c r="I648" s="149"/>
      <c r="J648" s="149"/>
      <c r="K648" s="149"/>
      <c r="L648" s="149"/>
      <c r="M648" s="149"/>
      <c r="N648" s="149"/>
    </row>
    <row r="649" spans="1:14">
      <c r="A649" s="149"/>
      <c r="B649" s="149"/>
      <c r="C649" s="155"/>
      <c r="D649" s="149"/>
      <c r="E649" s="149"/>
      <c r="F649" s="149"/>
      <c r="G649" s="149"/>
      <c r="H649" s="149"/>
      <c r="I649" s="149"/>
      <c r="J649" s="149"/>
      <c r="K649" s="149"/>
      <c r="L649" s="149"/>
      <c r="M649" s="149"/>
      <c r="N649" s="149"/>
    </row>
    <row r="650" spans="1:14">
      <c r="A650" s="149"/>
      <c r="B650" s="149"/>
      <c r="C650" s="155"/>
      <c r="D650" s="149"/>
      <c r="E650" s="149"/>
      <c r="F650" s="149"/>
      <c r="G650" s="149"/>
      <c r="H650" s="149"/>
      <c r="I650" s="149"/>
      <c r="J650" s="149"/>
      <c r="K650" s="149"/>
      <c r="L650" s="149"/>
      <c r="M650" s="149"/>
      <c r="N650" s="149"/>
    </row>
    <row r="651" spans="1:14">
      <c r="A651" s="149"/>
      <c r="B651" s="149"/>
      <c r="C651" s="155"/>
      <c r="D651" s="149"/>
      <c r="E651" s="149"/>
      <c r="F651" s="149"/>
      <c r="G651" s="149"/>
      <c r="H651" s="149"/>
      <c r="I651" s="149"/>
      <c r="J651" s="149"/>
      <c r="K651" s="149"/>
      <c r="L651" s="149"/>
      <c r="M651" s="149"/>
      <c r="N651" s="149"/>
    </row>
    <row r="652" spans="1:14">
      <c r="A652" s="149"/>
      <c r="B652" s="149"/>
      <c r="C652" s="155"/>
      <c r="D652" s="149"/>
      <c r="E652" s="149"/>
      <c r="F652" s="149"/>
      <c r="G652" s="149"/>
      <c r="H652" s="149"/>
      <c r="I652" s="149"/>
      <c r="J652" s="149"/>
      <c r="K652" s="149"/>
      <c r="L652" s="149"/>
      <c r="M652" s="149"/>
      <c r="N652" s="149"/>
    </row>
    <row r="653" spans="1:14">
      <c r="A653" s="149"/>
      <c r="B653" s="149"/>
      <c r="C653" s="155"/>
      <c r="D653" s="149"/>
      <c r="E653" s="149"/>
      <c r="F653" s="149"/>
      <c r="G653" s="149"/>
      <c r="H653" s="149"/>
      <c r="I653" s="149"/>
      <c r="J653" s="149"/>
      <c r="K653" s="149"/>
      <c r="L653" s="149"/>
      <c r="M653" s="149"/>
      <c r="N653" s="149"/>
    </row>
    <row r="654" spans="1:14">
      <c r="A654" s="149"/>
      <c r="B654" s="149"/>
      <c r="C654" s="155"/>
      <c r="D654" s="149"/>
      <c r="E654" s="149"/>
      <c r="F654" s="149"/>
      <c r="G654" s="149"/>
      <c r="H654" s="149"/>
      <c r="I654" s="149"/>
      <c r="J654" s="149"/>
      <c r="K654" s="149"/>
      <c r="L654" s="149"/>
      <c r="M654" s="149"/>
      <c r="N654" s="149"/>
    </row>
    <row r="655" spans="1:14">
      <c r="A655" s="149"/>
      <c r="B655" s="149"/>
      <c r="C655" s="155"/>
      <c r="D655" s="149"/>
      <c r="E655" s="149"/>
      <c r="F655" s="149"/>
      <c r="G655" s="149"/>
      <c r="H655" s="149"/>
      <c r="I655" s="149"/>
      <c r="J655" s="149"/>
      <c r="K655" s="149"/>
      <c r="L655" s="149"/>
      <c r="M655" s="149"/>
      <c r="N655" s="149"/>
    </row>
    <row r="656" spans="1:14">
      <c r="A656" s="149"/>
      <c r="B656" s="149"/>
      <c r="C656" s="155"/>
      <c r="D656" s="149"/>
      <c r="E656" s="149"/>
      <c r="F656" s="149"/>
      <c r="G656" s="149"/>
      <c r="H656" s="149"/>
      <c r="I656" s="149"/>
      <c r="J656" s="149"/>
      <c r="K656" s="149"/>
      <c r="L656" s="149"/>
      <c r="M656" s="149"/>
      <c r="N656" s="149"/>
    </row>
    <row r="657" spans="1:14">
      <c r="A657" s="149"/>
      <c r="B657" s="149"/>
      <c r="C657" s="155"/>
      <c r="D657" s="149"/>
      <c r="E657" s="149"/>
      <c r="F657" s="149"/>
      <c r="G657" s="149"/>
      <c r="H657" s="149"/>
      <c r="I657" s="149"/>
      <c r="J657" s="149"/>
      <c r="K657" s="149"/>
      <c r="L657" s="149"/>
      <c r="M657" s="149"/>
      <c r="N657" s="149"/>
    </row>
    <row r="658" spans="1:14">
      <c r="A658" s="149"/>
      <c r="B658" s="149"/>
      <c r="C658" s="155"/>
      <c r="D658" s="149"/>
      <c r="E658" s="149"/>
      <c r="F658" s="149"/>
      <c r="G658" s="149"/>
      <c r="H658" s="149"/>
      <c r="I658" s="149"/>
      <c r="J658" s="149"/>
      <c r="K658" s="149"/>
      <c r="L658" s="149"/>
      <c r="M658" s="149"/>
      <c r="N658" s="149"/>
    </row>
    <row r="659" spans="1:14">
      <c r="A659" s="149"/>
      <c r="B659" s="149"/>
      <c r="C659" s="155"/>
      <c r="D659" s="149"/>
      <c r="E659" s="149"/>
      <c r="F659" s="149"/>
      <c r="G659" s="149"/>
      <c r="H659" s="149"/>
      <c r="I659" s="149"/>
      <c r="J659" s="149"/>
      <c r="K659" s="149"/>
      <c r="L659" s="149"/>
      <c r="M659" s="149"/>
      <c r="N659" s="149"/>
    </row>
    <row r="660" spans="1:14">
      <c r="A660" s="149"/>
      <c r="B660" s="149"/>
      <c r="C660" s="155"/>
      <c r="D660" s="149"/>
      <c r="E660" s="149"/>
      <c r="F660" s="149"/>
      <c r="G660" s="149"/>
      <c r="H660" s="149"/>
      <c r="I660" s="149"/>
      <c r="J660" s="149"/>
      <c r="K660" s="149"/>
      <c r="L660" s="149"/>
      <c r="M660" s="149"/>
      <c r="N660" s="149"/>
    </row>
    <row r="661" spans="1:14">
      <c r="A661" s="149"/>
      <c r="B661" s="149"/>
      <c r="C661" s="155"/>
      <c r="D661" s="149"/>
      <c r="E661" s="149"/>
      <c r="F661" s="149"/>
      <c r="G661" s="149"/>
      <c r="H661" s="149"/>
      <c r="I661" s="149"/>
      <c r="J661" s="149"/>
      <c r="K661" s="149"/>
      <c r="L661" s="149"/>
      <c r="M661" s="149"/>
      <c r="N661" s="149"/>
    </row>
    <row r="662" spans="1:14">
      <c r="A662" s="149"/>
      <c r="B662" s="149"/>
      <c r="C662" s="155"/>
      <c r="D662" s="149"/>
      <c r="E662" s="149"/>
      <c r="F662" s="149"/>
      <c r="G662" s="149"/>
      <c r="H662" s="149"/>
      <c r="I662" s="149"/>
      <c r="J662" s="149"/>
      <c r="K662" s="149"/>
      <c r="L662" s="149"/>
      <c r="M662" s="149"/>
      <c r="N662" s="149"/>
    </row>
    <row r="663" spans="1:14">
      <c r="A663" s="149"/>
      <c r="B663" s="149"/>
      <c r="C663" s="155"/>
      <c r="D663" s="149"/>
      <c r="E663" s="149"/>
      <c r="F663" s="149"/>
      <c r="G663" s="149"/>
      <c r="H663" s="149"/>
      <c r="I663" s="149"/>
      <c r="J663" s="149"/>
      <c r="K663" s="149"/>
      <c r="L663" s="149"/>
      <c r="M663" s="149"/>
      <c r="N663" s="149"/>
    </row>
    <row r="664" spans="1:14">
      <c r="A664" s="149"/>
      <c r="B664" s="149"/>
      <c r="C664" s="155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</row>
    <row r="665" spans="1:14">
      <c r="A665" s="149"/>
      <c r="B665" s="149"/>
      <c r="C665" s="155"/>
      <c r="D665" s="149"/>
      <c r="E665" s="149"/>
      <c r="F665" s="149"/>
      <c r="G665" s="149"/>
      <c r="H665" s="149"/>
      <c r="I665" s="149"/>
      <c r="J665" s="149"/>
      <c r="K665" s="149"/>
      <c r="L665" s="149"/>
      <c r="M665" s="149"/>
      <c r="N665" s="149"/>
    </row>
    <row r="666" spans="1:14">
      <c r="A666" s="149"/>
      <c r="B666" s="149"/>
      <c r="C666" s="155"/>
      <c r="D666" s="149"/>
      <c r="E666" s="149"/>
      <c r="F666" s="149"/>
      <c r="G666" s="149"/>
      <c r="H666" s="149"/>
      <c r="I666" s="149"/>
      <c r="J666" s="149"/>
      <c r="K666" s="149"/>
      <c r="L666" s="149"/>
      <c r="M666" s="149"/>
      <c r="N666" s="149"/>
    </row>
    <row r="667" spans="1:14">
      <c r="A667" s="149"/>
      <c r="B667" s="149"/>
      <c r="C667" s="155"/>
      <c r="D667" s="149"/>
      <c r="E667" s="149"/>
      <c r="F667" s="149"/>
      <c r="G667" s="149"/>
      <c r="H667" s="149"/>
      <c r="I667" s="149"/>
      <c r="J667" s="149"/>
      <c r="K667" s="149"/>
      <c r="L667" s="149"/>
      <c r="M667" s="149"/>
      <c r="N667" s="149"/>
    </row>
    <row r="668" spans="1:14">
      <c r="A668" s="149"/>
      <c r="B668" s="149"/>
      <c r="C668" s="155"/>
      <c r="D668" s="149"/>
      <c r="E668" s="149"/>
      <c r="F668" s="149"/>
      <c r="G668" s="149"/>
      <c r="H668" s="149"/>
      <c r="I668" s="149"/>
      <c r="J668" s="149"/>
      <c r="K668" s="149"/>
      <c r="L668" s="149"/>
      <c r="M668" s="149"/>
      <c r="N668" s="149"/>
    </row>
    <row r="669" spans="1:14">
      <c r="A669" s="149"/>
      <c r="B669" s="149"/>
      <c r="C669" s="155"/>
      <c r="D669" s="149"/>
      <c r="E669" s="149"/>
      <c r="F669" s="149"/>
      <c r="G669" s="149"/>
      <c r="H669" s="149"/>
      <c r="I669" s="149"/>
      <c r="J669" s="149"/>
      <c r="K669" s="149"/>
      <c r="L669" s="149"/>
      <c r="M669" s="149"/>
      <c r="N669" s="149"/>
    </row>
    <row r="670" spans="1:14">
      <c r="A670" s="149"/>
      <c r="B670" s="149"/>
      <c r="C670" s="155"/>
      <c r="D670" s="149"/>
      <c r="E670" s="149"/>
      <c r="F670" s="149"/>
      <c r="G670" s="149"/>
      <c r="H670" s="149"/>
      <c r="I670" s="149"/>
      <c r="J670" s="149"/>
      <c r="K670" s="149"/>
      <c r="L670" s="149"/>
      <c r="M670" s="149"/>
      <c r="N670" s="149"/>
    </row>
    <row r="671" spans="1:14">
      <c r="A671" s="149"/>
      <c r="B671" s="149"/>
      <c r="C671" s="155"/>
      <c r="D671" s="149"/>
      <c r="E671" s="149"/>
      <c r="F671" s="149"/>
      <c r="G671" s="149"/>
      <c r="H671" s="149"/>
      <c r="I671" s="149"/>
      <c r="J671" s="149"/>
      <c r="K671" s="149"/>
      <c r="L671" s="149"/>
      <c r="M671" s="149"/>
      <c r="N671" s="149"/>
    </row>
    <row r="672" spans="1:14">
      <c r="A672" s="149"/>
      <c r="B672" s="149"/>
      <c r="C672" s="155"/>
      <c r="D672" s="149"/>
      <c r="E672" s="149"/>
      <c r="F672" s="149"/>
      <c r="G672" s="149"/>
      <c r="H672" s="149"/>
      <c r="I672" s="149"/>
      <c r="J672" s="149"/>
      <c r="K672" s="149"/>
      <c r="L672" s="149"/>
      <c r="M672" s="149"/>
      <c r="N672" s="149"/>
    </row>
    <row r="673" spans="1:14">
      <c r="A673" s="149"/>
      <c r="B673" s="149"/>
      <c r="C673" s="155"/>
      <c r="D673" s="149"/>
      <c r="E673" s="149"/>
      <c r="F673" s="149"/>
      <c r="G673" s="149"/>
      <c r="H673" s="149"/>
      <c r="I673" s="149"/>
      <c r="J673" s="149"/>
      <c r="K673" s="149"/>
      <c r="L673" s="149"/>
      <c r="M673" s="149"/>
      <c r="N673" s="149"/>
    </row>
    <row r="674" spans="1:14">
      <c r="A674" s="149"/>
      <c r="B674" s="149"/>
      <c r="C674" s="155"/>
      <c r="D674" s="149"/>
      <c r="E674" s="149"/>
      <c r="F674" s="149"/>
      <c r="G674" s="149"/>
      <c r="H674" s="149"/>
      <c r="I674" s="149"/>
      <c r="J674" s="149"/>
      <c r="K674" s="149"/>
      <c r="L674" s="149"/>
      <c r="M674" s="149"/>
      <c r="N674" s="149"/>
    </row>
    <row r="675" spans="1:14">
      <c r="A675" s="149"/>
      <c r="B675" s="149"/>
      <c r="C675" s="155"/>
      <c r="D675" s="149"/>
      <c r="E675" s="149"/>
      <c r="F675" s="149"/>
      <c r="G675" s="149"/>
      <c r="H675" s="149"/>
      <c r="I675" s="149"/>
      <c r="J675" s="149"/>
      <c r="K675" s="149"/>
      <c r="L675" s="149"/>
      <c r="M675" s="149"/>
      <c r="N675" s="149"/>
    </row>
    <row r="676" spans="1:14">
      <c r="A676" s="149"/>
      <c r="B676" s="149"/>
      <c r="C676" s="155"/>
      <c r="D676" s="149"/>
      <c r="E676" s="149"/>
      <c r="F676" s="149"/>
      <c r="G676" s="149"/>
      <c r="H676" s="149"/>
      <c r="I676" s="149"/>
      <c r="J676" s="149"/>
      <c r="K676" s="149"/>
      <c r="L676" s="149"/>
      <c r="M676" s="149"/>
      <c r="N676" s="149"/>
    </row>
    <row r="677" spans="1:14">
      <c r="A677" s="149"/>
      <c r="B677" s="149"/>
      <c r="C677" s="155"/>
      <c r="D677" s="149"/>
      <c r="E677" s="149"/>
      <c r="F677" s="149"/>
      <c r="G677" s="149"/>
      <c r="H677" s="149"/>
      <c r="I677" s="149"/>
      <c r="J677" s="149"/>
      <c r="K677" s="149"/>
      <c r="L677" s="149"/>
      <c r="M677" s="149"/>
      <c r="N677" s="149"/>
    </row>
    <row r="678" spans="1:14">
      <c r="A678" s="149"/>
      <c r="B678" s="149"/>
      <c r="C678" s="155"/>
      <c r="D678" s="149"/>
      <c r="E678" s="149"/>
      <c r="F678" s="149"/>
      <c r="G678" s="149"/>
      <c r="H678" s="149"/>
      <c r="I678" s="149"/>
      <c r="J678" s="149"/>
      <c r="K678" s="149"/>
      <c r="L678" s="149"/>
      <c r="M678" s="149"/>
      <c r="N678" s="149"/>
    </row>
    <row r="679" spans="1:14">
      <c r="A679" s="149"/>
      <c r="B679" s="149"/>
      <c r="C679" s="155"/>
      <c r="D679" s="149"/>
      <c r="E679" s="149"/>
      <c r="F679" s="149"/>
      <c r="G679" s="149"/>
      <c r="H679" s="149"/>
      <c r="I679" s="149"/>
      <c r="J679" s="149"/>
      <c r="K679" s="149"/>
      <c r="L679" s="149"/>
      <c r="M679" s="149"/>
      <c r="N679" s="149"/>
    </row>
    <row r="680" spans="1:14">
      <c r="A680" s="149"/>
      <c r="B680" s="149"/>
      <c r="C680" s="155"/>
      <c r="D680" s="149"/>
      <c r="E680" s="149"/>
      <c r="F680" s="149"/>
      <c r="G680" s="149"/>
      <c r="H680" s="149"/>
      <c r="I680" s="149"/>
      <c r="J680" s="149"/>
      <c r="K680" s="149"/>
      <c r="L680" s="149"/>
      <c r="M680" s="149"/>
      <c r="N680" s="149"/>
    </row>
    <row r="681" spans="1:14">
      <c r="A681" s="149"/>
      <c r="B681" s="149"/>
      <c r="C681" s="155"/>
      <c r="D681" s="149"/>
      <c r="E681" s="149"/>
      <c r="F681" s="149"/>
      <c r="G681" s="149"/>
      <c r="H681" s="149"/>
      <c r="I681" s="149"/>
      <c r="J681" s="149"/>
      <c r="K681" s="149"/>
      <c r="L681" s="149"/>
      <c r="M681" s="149"/>
      <c r="N681" s="149"/>
    </row>
    <row r="682" spans="1:14">
      <c r="A682" s="149"/>
      <c r="B682" s="149"/>
      <c r="C682" s="155"/>
      <c r="D682" s="149"/>
      <c r="E682" s="149"/>
      <c r="F682" s="149"/>
      <c r="G682" s="149"/>
      <c r="H682" s="149"/>
      <c r="I682" s="149"/>
      <c r="J682" s="149"/>
      <c r="K682" s="149"/>
      <c r="L682" s="149"/>
      <c r="M682" s="149"/>
      <c r="N682" s="149"/>
    </row>
    <row r="683" spans="1:14">
      <c r="A683" s="149"/>
      <c r="B683" s="149"/>
      <c r="C683" s="155"/>
      <c r="D683" s="149"/>
      <c r="E683" s="149"/>
      <c r="F683" s="149"/>
      <c r="G683" s="149"/>
      <c r="H683" s="149"/>
      <c r="I683" s="149"/>
      <c r="J683" s="149"/>
      <c r="K683" s="149"/>
      <c r="L683" s="149"/>
      <c r="M683" s="149"/>
      <c r="N683" s="149"/>
    </row>
    <row r="684" spans="1:14">
      <c r="A684" s="149"/>
      <c r="B684" s="149"/>
      <c r="C684" s="155"/>
      <c r="D684" s="149"/>
      <c r="E684" s="149"/>
      <c r="F684" s="149"/>
      <c r="G684" s="149"/>
      <c r="H684" s="149"/>
      <c r="I684" s="149"/>
      <c r="J684" s="149"/>
      <c r="K684" s="149"/>
      <c r="L684" s="149"/>
      <c r="M684" s="149"/>
      <c r="N684" s="149"/>
    </row>
    <row r="685" spans="1:14">
      <c r="A685" s="149"/>
      <c r="B685" s="149"/>
      <c r="C685" s="155"/>
      <c r="D685" s="149"/>
      <c r="E685" s="149"/>
      <c r="F685" s="149"/>
      <c r="G685" s="149"/>
      <c r="H685" s="149"/>
      <c r="I685" s="149"/>
      <c r="J685" s="149"/>
      <c r="K685" s="149"/>
      <c r="L685" s="149"/>
      <c r="M685" s="149"/>
      <c r="N685" s="149"/>
    </row>
    <row r="686" spans="1:14">
      <c r="A686" s="149"/>
      <c r="B686" s="149"/>
      <c r="C686" s="155"/>
      <c r="D686" s="149"/>
      <c r="E686" s="149"/>
      <c r="F686" s="149"/>
      <c r="G686" s="149"/>
      <c r="H686" s="149"/>
      <c r="I686" s="149"/>
      <c r="J686" s="149"/>
      <c r="K686" s="149"/>
      <c r="L686" s="149"/>
      <c r="M686" s="149"/>
      <c r="N686" s="149"/>
    </row>
    <row r="687" spans="1:14">
      <c r="A687" s="149"/>
      <c r="B687" s="149"/>
      <c r="C687" s="155"/>
      <c r="D687" s="149"/>
      <c r="E687" s="149"/>
      <c r="F687" s="149"/>
      <c r="G687" s="149"/>
      <c r="H687" s="149"/>
      <c r="I687" s="149"/>
      <c r="J687" s="149"/>
      <c r="K687" s="149"/>
      <c r="L687" s="149"/>
      <c r="M687" s="149"/>
      <c r="N687" s="149"/>
    </row>
    <row r="688" spans="1:14">
      <c r="A688" s="149"/>
      <c r="B688" s="149"/>
      <c r="C688" s="155"/>
      <c r="D688" s="149"/>
      <c r="E688" s="149"/>
      <c r="F688" s="149"/>
      <c r="G688" s="149"/>
      <c r="H688" s="149"/>
      <c r="I688" s="149"/>
      <c r="J688" s="149"/>
      <c r="K688" s="149"/>
      <c r="L688" s="149"/>
      <c r="M688" s="149"/>
      <c r="N688" s="149"/>
    </row>
    <row r="689" spans="1:14">
      <c r="A689" s="149"/>
      <c r="B689" s="149"/>
      <c r="C689" s="155"/>
      <c r="D689" s="149"/>
      <c r="E689" s="149"/>
      <c r="F689" s="149"/>
      <c r="G689" s="149"/>
      <c r="H689" s="149"/>
      <c r="I689" s="149"/>
      <c r="J689" s="149"/>
      <c r="K689" s="149"/>
      <c r="L689" s="149"/>
      <c r="M689" s="149"/>
      <c r="N689" s="149"/>
    </row>
    <row r="690" spans="1:14">
      <c r="A690" s="149"/>
      <c r="B690" s="149"/>
      <c r="C690" s="155"/>
      <c r="D690" s="149"/>
      <c r="E690" s="149"/>
      <c r="F690" s="149"/>
      <c r="G690" s="149"/>
      <c r="H690" s="149"/>
      <c r="I690" s="149"/>
      <c r="J690" s="149"/>
      <c r="K690" s="149"/>
      <c r="L690" s="149"/>
      <c r="M690" s="149"/>
      <c r="N690" s="149"/>
    </row>
    <row r="691" spans="1:14">
      <c r="A691" s="149"/>
      <c r="B691" s="149"/>
      <c r="C691" s="155"/>
      <c r="D691" s="149"/>
      <c r="E691" s="149"/>
      <c r="F691" s="149"/>
      <c r="G691" s="149"/>
      <c r="H691" s="149"/>
      <c r="I691" s="149"/>
      <c r="J691" s="149"/>
      <c r="K691" s="149"/>
      <c r="L691" s="149"/>
      <c r="M691" s="149"/>
      <c r="N691" s="149"/>
    </row>
    <row r="692" spans="1:14">
      <c r="A692" s="149"/>
      <c r="B692" s="149"/>
      <c r="C692" s="155"/>
      <c r="D692" s="149"/>
      <c r="E692" s="149"/>
      <c r="F692" s="149"/>
      <c r="G692" s="149"/>
      <c r="H692" s="149"/>
      <c r="I692" s="149"/>
      <c r="J692" s="149"/>
      <c r="K692" s="149"/>
      <c r="L692" s="149"/>
      <c r="M692" s="149"/>
      <c r="N692" s="149"/>
    </row>
    <row r="693" spans="1:14">
      <c r="A693" s="149"/>
      <c r="B693" s="149"/>
      <c r="C693" s="155"/>
      <c r="D693" s="149"/>
      <c r="E693" s="149"/>
      <c r="F693" s="149"/>
      <c r="G693" s="149"/>
      <c r="H693" s="149"/>
      <c r="I693" s="149"/>
      <c r="J693" s="149"/>
      <c r="K693" s="149"/>
      <c r="L693" s="149"/>
      <c r="M693" s="149"/>
      <c r="N693" s="149"/>
    </row>
    <row r="694" spans="1:14">
      <c r="A694" s="149"/>
      <c r="B694" s="149"/>
      <c r="C694" s="155"/>
      <c r="D694" s="149"/>
      <c r="E694" s="149"/>
      <c r="F694" s="149"/>
      <c r="G694" s="149"/>
      <c r="H694" s="149"/>
      <c r="I694" s="149"/>
      <c r="J694" s="149"/>
      <c r="K694" s="149"/>
      <c r="L694" s="149"/>
      <c r="M694" s="149"/>
      <c r="N694" s="149"/>
    </row>
    <row r="695" spans="1:14">
      <c r="A695" s="149"/>
      <c r="B695" s="149"/>
      <c r="C695" s="155"/>
      <c r="D695" s="149"/>
      <c r="E695" s="149"/>
      <c r="F695" s="149"/>
      <c r="G695" s="149"/>
      <c r="H695" s="149"/>
      <c r="I695" s="149"/>
      <c r="J695" s="149"/>
      <c r="K695" s="149"/>
      <c r="L695" s="149"/>
      <c r="M695" s="149"/>
      <c r="N695" s="149"/>
    </row>
    <row r="696" spans="1:14">
      <c r="A696" s="149"/>
      <c r="B696" s="149"/>
      <c r="C696" s="155"/>
      <c r="D696" s="149"/>
      <c r="E696" s="149"/>
      <c r="F696" s="149"/>
      <c r="G696" s="149"/>
      <c r="H696" s="149"/>
      <c r="I696" s="149"/>
      <c r="J696" s="149"/>
      <c r="K696" s="149"/>
      <c r="L696" s="149"/>
      <c r="M696" s="149"/>
      <c r="N696" s="149"/>
    </row>
    <row r="697" spans="1:14">
      <c r="A697" s="149"/>
      <c r="B697" s="149"/>
      <c r="C697" s="155"/>
      <c r="D697" s="149"/>
      <c r="E697" s="149"/>
      <c r="F697" s="149"/>
      <c r="G697" s="149"/>
      <c r="H697" s="149"/>
      <c r="I697" s="149"/>
      <c r="J697" s="149"/>
      <c r="K697" s="149"/>
      <c r="L697" s="149"/>
      <c r="M697" s="149"/>
      <c r="N697" s="149"/>
    </row>
    <row r="698" spans="1:14">
      <c r="A698" s="149"/>
      <c r="B698" s="149"/>
      <c r="C698" s="155"/>
      <c r="D698" s="149"/>
      <c r="E698" s="149"/>
      <c r="F698" s="149"/>
      <c r="G698" s="149"/>
      <c r="H698" s="149"/>
      <c r="I698" s="149"/>
      <c r="J698" s="149"/>
      <c r="K698" s="149"/>
      <c r="L698" s="149"/>
      <c r="M698" s="149"/>
      <c r="N698" s="149"/>
    </row>
    <row r="699" spans="1:14">
      <c r="A699" s="149"/>
      <c r="B699" s="149"/>
      <c r="C699" s="155"/>
      <c r="D699" s="149"/>
      <c r="E699" s="149"/>
      <c r="F699" s="149"/>
      <c r="G699" s="149"/>
      <c r="H699" s="149"/>
      <c r="I699" s="149"/>
      <c r="J699" s="149"/>
      <c r="K699" s="149"/>
      <c r="L699" s="149"/>
      <c r="M699" s="149"/>
      <c r="N699" s="149"/>
    </row>
    <row r="700" spans="1:14">
      <c r="A700" s="149"/>
      <c r="B700" s="149"/>
      <c r="C700" s="155"/>
      <c r="D700" s="149"/>
      <c r="E700" s="149"/>
      <c r="F700" s="149"/>
      <c r="G700" s="149"/>
      <c r="H700" s="149"/>
      <c r="I700" s="149"/>
      <c r="J700" s="149"/>
      <c r="K700" s="149"/>
      <c r="L700" s="149"/>
      <c r="M700" s="149"/>
      <c r="N700" s="149"/>
    </row>
    <row r="701" spans="1:14">
      <c r="A701" s="149"/>
      <c r="B701" s="149"/>
      <c r="C701" s="155"/>
      <c r="D701" s="149"/>
      <c r="E701" s="149"/>
      <c r="F701" s="149"/>
      <c r="G701" s="149"/>
      <c r="H701" s="149"/>
      <c r="I701" s="149"/>
      <c r="J701" s="149"/>
      <c r="K701" s="149"/>
      <c r="L701" s="149"/>
      <c r="M701" s="149"/>
      <c r="N701" s="149"/>
    </row>
    <row r="702" spans="1:14">
      <c r="A702" s="149"/>
      <c r="B702" s="149"/>
      <c r="C702" s="155"/>
      <c r="D702" s="149"/>
      <c r="E702" s="149"/>
      <c r="F702" s="149"/>
      <c r="G702" s="149"/>
      <c r="H702" s="149"/>
      <c r="I702" s="149"/>
      <c r="J702" s="149"/>
      <c r="K702" s="149"/>
      <c r="L702" s="149"/>
      <c r="M702" s="149"/>
      <c r="N702" s="149"/>
    </row>
    <row r="703" spans="1:14">
      <c r="A703" s="149"/>
      <c r="B703" s="149"/>
      <c r="C703" s="155"/>
      <c r="D703" s="149"/>
      <c r="E703" s="149"/>
      <c r="F703" s="149"/>
      <c r="G703" s="149"/>
      <c r="H703" s="149"/>
      <c r="I703" s="149"/>
      <c r="J703" s="149"/>
      <c r="K703" s="149"/>
      <c r="L703" s="149"/>
      <c r="M703" s="149"/>
      <c r="N703" s="149"/>
    </row>
    <row r="704" spans="1:14">
      <c r="A704" s="149"/>
      <c r="B704" s="149"/>
      <c r="C704" s="155"/>
      <c r="D704" s="149"/>
      <c r="E704" s="149"/>
      <c r="F704" s="149"/>
      <c r="G704" s="149"/>
      <c r="H704" s="149"/>
      <c r="I704" s="149"/>
      <c r="J704" s="149"/>
      <c r="K704" s="149"/>
      <c r="L704" s="149"/>
      <c r="M704" s="149"/>
      <c r="N704" s="149"/>
    </row>
    <row r="705" spans="1:14">
      <c r="A705" s="149"/>
      <c r="B705" s="149"/>
      <c r="C705" s="155"/>
      <c r="D705" s="149"/>
      <c r="E705" s="149"/>
      <c r="F705" s="149"/>
      <c r="G705" s="149"/>
      <c r="H705" s="149"/>
      <c r="I705" s="149"/>
      <c r="J705" s="149"/>
      <c r="K705" s="149"/>
      <c r="L705" s="149"/>
      <c r="M705" s="149"/>
      <c r="N705" s="149"/>
    </row>
    <row r="706" spans="1:14">
      <c r="A706" s="149"/>
      <c r="B706" s="149"/>
      <c r="C706" s="155"/>
      <c r="D706" s="149"/>
      <c r="E706" s="149"/>
      <c r="F706" s="149"/>
      <c r="G706" s="149"/>
      <c r="H706" s="149"/>
      <c r="I706" s="149"/>
      <c r="J706" s="149"/>
      <c r="K706" s="149"/>
      <c r="L706" s="149"/>
      <c r="M706" s="149"/>
      <c r="N706" s="149"/>
    </row>
    <row r="707" spans="1:14">
      <c r="A707" s="149"/>
      <c r="B707" s="149"/>
      <c r="C707" s="155"/>
      <c r="D707" s="149"/>
      <c r="E707" s="149"/>
      <c r="F707" s="149"/>
      <c r="G707" s="149"/>
      <c r="H707" s="149"/>
      <c r="I707" s="149"/>
      <c r="J707" s="149"/>
      <c r="K707" s="149"/>
      <c r="L707" s="149"/>
      <c r="M707" s="149"/>
      <c r="N707" s="149"/>
    </row>
    <row r="708" spans="1:14">
      <c r="A708" s="149"/>
      <c r="B708" s="149"/>
      <c r="C708" s="155"/>
      <c r="D708" s="149"/>
      <c r="E708" s="149"/>
      <c r="F708" s="149"/>
      <c r="G708" s="149"/>
      <c r="H708" s="149"/>
      <c r="I708" s="149"/>
      <c r="J708" s="149"/>
      <c r="K708" s="149"/>
      <c r="L708" s="149"/>
      <c r="M708" s="149"/>
      <c r="N708" s="149"/>
    </row>
    <row r="709" spans="1:14">
      <c r="A709" s="149"/>
      <c r="B709" s="149"/>
      <c r="C709" s="155"/>
      <c r="D709" s="149"/>
      <c r="E709" s="149"/>
      <c r="F709" s="149"/>
      <c r="G709" s="149"/>
      <c r="H709" s="149"/>
      <c r="I709" s="149"/>
      <c r="J709" s="149"/>
      <c r="K709" s="149"/>
      <c r="L709" s="149"/>
      <c r="M709" s="149"/>
      <c r="N709" s="149"/>
    </row>
    <row r="710" spans="1:14">
      <c r="A710" s="149"/>
      <c r="B710" s="149"/>
      <c r="C710" s="155"/>
      <c r="D710" s="149"/>
      <c r="E710" s="149"/>
      <c r="F710" s="149"/>
      <c r="G710" s="149"/>
      <c r="H710" s="149"/>
      <c r="I710" s="149"/>
      <c r="J710" s="149"/>
      <c r="K710" s="149"/>
      <c r="L710" s="149"/>
      <c r="M710" s="149"/>
      <c r="N710" s="149"/>
    </row>
    <row r="711" spans="1:14">
      <c r="A711" s="149"/>
      <c r="B711" s="149"/>
      <c r="C711" s="155"/>
      <c r="D711" s="149"/>
      <c r="E711" s="149"/>
      <c r="F711" s="149"/>
      <c r="G711" s="149"/>
      <c r="H711" s="149"/>
      <c r="I711" s="149"/>
      <c r="J711" s="149"/>
      <c r="K711" s="149"/>
      <c r="L711" s="149"/>
      <c r="M711" s="149"/>
      <c r="N711" s="149"/>
    </row>
  </sheetData>
  <sheetProtection algorithmName="SHA-512" hashValue="8Q6mbXrknkw9fzqO7pUx6A/A8U3LYhAa87qCB9FF1rbzVdSqpBPSObO3hCYPGPYuSXs3/b3FgrJQAFX+bbAz6Q==" saltValue="OA4jwvhMOI+A0igPxPBdtQ==" spinCount="100000" sheet="1" objects="1" scenarios="1"/>
  <phoneticPr fontId="2" type="noConversion"/>
  <pageMargins left="0.39370078740157483" right="0.39370078740157483" top="0.81" bottom="0.59055118110236227" header="0" footer="0.51181102362204722"/>
  <pageSetup paperSize="9" scale="43" orientation="landscape" r:id="rId1"/>
  <headerFooter alignWithMargins="0"/>
  <colBreaks count="1" manualBreakCount="1">
    <brk id="1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pageSetUpPr fitToPage="1"/>
  </sheetPr>
  <dimension ref="B1:GJ567"/>
  <sheetViews>
    <sheetView showGridLines="0" topLeftCell="B3" zoomScaleNormal="100" workbookViewId="0">
      <selection activeCell="G7" sqref="G7"/>
    </sheetView>
  </sheetViews>
  <sheetFormatPr baseColWidth="10" defaultColWidth="11.44140625" defaultRowHeight="15.6"/>
  <cols>
    <col min="1" max="1" width="0" style="2" hidden="1" customWidth="1"/>
    <col min="2" max="2" width="21.6640625" style="2" customWidth="1"/>
    <col min="3" max="3" width="14.5546875" style="2" customWidth="1"/>
    <col min="4" max="4" width="17.5546875" style="2" customWidth="1"/>
    <col min="5" max="5" width="15.88671875" style="2" customWidth="1"/>
    <col min="6" max="6" width="21.88671875" style="2" customWidth="1"/>
    <col min="7" max="7" width="16.6640625" style="2" customWidth="1"/>
    <col min="8" max="8" width="23.88671875" style="2" customWidth="1"/>
    <col min="9" max="9" width="20.5546875" style="2" bestFit="1" customWidth="1"/>
    <col min="10" max="10" width="22.109375" style="2" customWidth="1"/>
    <col min="11" max="11" width="14.6640625" style="2" customWidth="1"/>
    <col min="12" max="12" width="21.109375" style="2" customWidth="1"/>
    <col min="13" max="13" width="13.44140625" style="2" customWidth="1"/>
    <col min="14" max="14" width="21.44140625" style="269" customWidth="1"/>
    <col min="15" max="15" width="17" style="269" customWidth="1"/>
    <col min="16" max="192" width="11.44140625" style="269"/>
    <col min="193" max="16384" width="11.44140625" style="2"/>
  </cols>
  <sheetData>
    <row r="1" spans="2:192" s="3" customFormat="1" hidden="1"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  <c r="AI1" s="267"/>
      <c r="AJ1" s="267"/>
      <c r="AK1" s="267"/>
      <c r="AL1" s="267"/>
      <c r="AM1" s="267"/>
      <c r="AN1" s="267"/>
      <c r="AO1" s="267"/>
      <c r="AP1" s="267"/>
      <c r="AQ1" s="267"/>
      <c r="AR1" s="267"/>
      <c r="AS1" s="267"/>
      <c r="AT1" s="267"/>
      <c r="AU1" s="267"/>
      <c r="AV1" s="267"/>
      <c r="AW1" s="267"/>
      <c r="AX1" s="267"/>
      <c r="AY1" s="267"/>
      <c r="AZ1" s="267"/>
      <c r="BA1" s="267"/>
      <c r="BB1" s="267"/>
      <c r="BC1" s="267"/>
      <c r="BD1" s="267"/>
      <c r="BE1" s="267"/>
      <c r="BF1" s="267"/>
      <c r="BG1" s="267"/>
      <c r="BH1" s="267"/>
      <c r="BI1" s="267"/>
      <c r="BJ1" s="267"/>
      <c r="BK1" s="267"/>
      <c r="BL1" s="267"/>
      <c r="BM1" s="267"/>
      <c r="BN1" s="267"/>
      <c r="BO1" s="267"/>
      <c r="BP1" s="267"/>
      <c r="BQ1" s="267"/>
      <c r="BR1" s="267"/>
      <c r="BS1" s="267"/>
      <c r="BT1" s="267"/>
      <c r="BU1" s="267"/>
      <c r="BV1" s="267"/>
      <c r="BW1" s="267"/>
      <c r="BX1" s="267"/>
      <c r="BY1" s="267"/>
      <c r="BZ1" s="267"/>
      <c r="CA1" s="267"/>
      <c r="CB1" s="267"/>
      <c r="CC1" s="267"/>
      <c r="CD1" s="267"/>
      <c r="CE1" s="267"/>
      <c r="CF1" s="267"/>
      <c r="CG1" s="267"/>
      <c r="CH1" s="267"/>
      <c r="CI1" s="267"/>
      <c r="CJ1" s="267"/>
      <c r="CK1" s="267"/>
      <c r="CL1" s="267"/>
      <c r="CM1" s="267"/>
      <c r="CN1" s="267"/>
      <c r="CO1" s="267"/>
      <c r="CP1" s="267"/>
      <c r="CQ1" s="267"/>
      <c r="CR1" s="267"/>
      <c r="CS1" s="267"/>
      <c r="CT1" s="267"/>
      <c r="CU1" s="267"/>
      <c r="CV1" s="267"/>
      <c r="CW1" s="267"/>
      <c r="CX1" s="267"/>
      <c r="CY1" s="267"/>
      <c r="CZ1" s="267"/>
      <c r="DA1" s="267"/>
      <c r="DB1" s="267"/>
      <c r="DC1" s="267"/>
      <c r="DD1" s="267"/>
      <c r="DE1" s="267"/>
      <c r="DF1" s="267"/>
      <c r="DG1" s="267"/>
      <c r="DH1" s="267"/>
      <c r="DI1" s="267"/>
      <c r="DJ1" s="267"/>
      <c r="DK1" s="267"/>
      <c r="DL1" s="267"/>
      <c r="DM1" s="267"/>
      <c r="DN1" s="267"/>
      <c r="DO1" s="267"/>
      <c r="DP1" s="267"/>
      <c r="DQ1" s="267"/>
      <c r="DR1" s="267"/>
      <c r="DS1" s="267"/>
      <c r="DT1" s="267"/>
      <c r="DU1" s="267"/>
      <c r="DV1" s="267"/>
      <c r="DW1" s="267"/>
      <c r="DX1" s="267"/>
      <c r="DY1" s="267"/>
      <c r="DZ1" s="267"/>
      <c r="EA1" s="267"/>
      <c r="EB1" s="267"/>
      <c r="EC1" s="267"/>
      <c r="ED1" s="267"/>
      <c r="EE1" s="267"/>
      <c r="EF1" s="267"/>
      <c r="EG1" s="267"/>
      <c r="EH1" s="267"/>
      <c r="EI1" s="267"/>
      <c r="EJ1" s="267"/>
      <c r="EK1" s="267"/>
      <c r="EL1" s="267"/>
      <c r="EM1" s="267"/>
      <c r="EN1" s="267"/>
      <c r="EO1" s="267"/>
      <c r="EP1" s="267"/>
      <c r="EQ1" s="267"/>
      <c r="ER1" s="267"/>
      <c r="ES1" s="267"/>
      <c r="ET1" s="267"/>
      <c r="EU1" s="267"/>
      <c r="EV1" s="267"/>
      <c r="EW1" s="267"/>
      <c r="EX1" s="267"/>
      <c r="EY1" s="267"/>
      <c r="EZ1" s="267"/>
      <c r="FA1" s="267"/>
      <c r="FB1" s="267"/>
      <c r="FC1" s="267"/>
      <c r="FD1" s="267"/>
      <c r="FE1" s="267"/>
      <c r="FF1" s="267"/>
      <c r="FG1" s="267"/>
      <c r="FH1" s="267"/>
      <c r="FI1" s="267"/>
      <c r="FJ1" s="267"/>
      <c r="FK1" s="267"/>
      <c r="FL1" s="267"/>
      <c r="FM1" s="267"/>
      <c r="FN1" s="267"/>
      <c r="FO1" s="267"/>
      <c r="FP1" s="267"/>
      <c r="FQ1" s="267"/>
      <c r="FR1" s="267"/>
      <c r="FS1" s="267"/>
      <c r="FT1" s="267"/>
      <c r="FU1" s="267"/>
      <c r="FV1" s="267"/>
      <c r="FW1" s="267"/>
      <c r="FX1" s="267"/>
      <c r="FY1" s="267"/>
      <c r="FZ1" s="267"/>
      <c r="GA1" s="267"/>
      <c r="GB1" s="267"/>
      <c r="GC1" s="267"/>
      <c r="GD1" s="267"/>
      <c r="GE1" s="267"/>
      <c r="GF1" s="267"/>
      <c r="GG1" s="267"/>
      <c r="GH1" s="267"/>
      <c r="GI1" s="267"/>
      <c r="GJ1" s="267"/>
    </row>
    <row r="2" spans="2:192" s="3" customFormat="1" ht="16.2" hidden="1" thickBot="1"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F2" s="267"/>
      <c r="BG2" s="267"/>
      <c r="BH2" s="267"/>
      <c r="BI2" s="267"/>
      <c r="BJ2" s="267"/>
      <c r="BK2" s="267"/>
      <c r="BL2" s="267"/>
      <c r="BM2" s="267"/>
      <c r="BN2" s="267"/>
      <c r="BO2" s="267"/>
      <c r="BP2" s="267"/>
      <c r="BQ2" s="267"/>
      <c r="BR2" s="267"/>
      <c r="BS2" s="267"/>
      <c r="BT2" s="267"/>
      <c r="BU2" s="267"/>
      <c r="BV2" s="267"/>
      <c r="BW2" s="267"/>
      <c r="BX2" s="267"/>
      <c r="BY2" s="267"/>
      <c r="BZ2" s="267"/>
      <c r="CA2" s="267"/>
      <c r="CB2" s="267"/>
      <c r="CC2" s="267"/>
      <c r="CD2" s="267"/>
      <c r="CE2" s="267"/>
      <c r="CF2" s="267"/>
      <c r="CG2" s="267"/>
      <c r="CH2" s="267"/>
      <c r="CI2" s="267"/>
      <c r="CJ2" s="267"/>
      <c r="CK2" s="267"/>
      <c r="CL2" s="267"/>
      <c r="CM2" s="267"/>
      <c r="CN2" s="267"/>
      <c r="CO2" s="267"/>
      <c r="CP2" s="267"/>
      <c r="CQ2" s="267"/>
      <c r="CR2" s="267"/>
      <c r="CS2" s="267"/>
      <c r="CT2" s="267"/>
      <c r="CU2" s="267"/>
      <c r="CV2" s="267"/>
      <c r="CW2" s="267"/>
      <c r="CX2" s="267"/>
      <c r="CY2" s="267"/>
      <c r="CZ2" s="267"/>
      <c r="DA2" s="267"/>
      <c r="DB2" s="267"/>
      <c r="DC2" s="267"/>
      <c r="DD2" s="267"/>
      <c r="DE2" s="267"/>
      <c r="DF2" s="267"/>
      <c r="DG2" s="267"/>
      <c r="DH2" s="267"/>
      <c r="DI2" s="267"/>
      <c r="DJ2" s="267"/>
      <c r="DK2" s="267"/>
      <c r="DL2" s="267"/>
      <c r="DM2" s="267"/>
      <c r="DN2" s="267"/>
      <c r="DO2" s="267"/>
      <c r="DP2" s="267"/>
      <c r="DQ2" s="267"/>
      <c r="DR2" s="267"/>
      <c r="DS2" s="267"/>
      <c r="DT2" s="267"/>
      <c r="DU2" s="267"/>
      <c r="DV2" s="267"/>
      <c r="DW2" s="267"/>
      <c r="DX2" s="267"/>
      <c r="DY2" s="267"/>
      <c r="DZ2" s="267"/>
      <c r="EA2" s="267"/>
      <c r="EB2" s="267"/>
      <c r="EC2" s="267"/>
      <c r="ED2" s="267"/>
      <c r="EE2" s="267"/>
      <c r="EF2" s="267"/>
      <c r="EG2" s="267"/>
      <c r="EH2" s="267"/>
      <c r="EI2" s="267"/>
      <c r="EJ2" s="267"/>
      <c r="EK2" s="267"/>
      <c r="EL2" s="267"/>
      <c r="EM2" s="267"/>
      <c r="EN2" s="267"/>
      <c r="EO2" s="267"/>
      <c r="EP2" s="267"/>
      <c r="EQ2" s="267"/>
      <c r="ER2" s="267"/>
      <c r="ES2" s="267"/>
      <c r="ET2" s="267"/>
      <c r="EU2" s="267"/>
      <c r="EV2" s="267"/>
      <c r="EW2" s="267"/>
      <c r="EX2" s="267"/>
      <c r="EY2" s="267"/>
      <c r="EZ2" s="267"/>
      <c r="FA2" s="267"/>
      <c r="FB2" s="267"/>
      <c r="FC2" s="267"/>
      <c r="FD2" s="267"/>
      <c r="FE2" s="267"/>
      <c r="FF2" s="267"/>
      <c r="FG2" s="267"/>
      <c r="FH2" s="267"/>
      <c r="FI2" s="267"/>
      <c r="FJ2" s="267"/>
      <c r="FK2" s="267"/>
      <c r="FL2" s="267"/>
      <c r="FM2" s="267"/>
      <c r="FN2" s="267"/>
      <c r="FO2" s="267"/>
      <c r="FP2" s="267"/>
      <c r="FQ2" s="267"/>
      <c r="FR2" s="267"/>
      <c r="FS2" s="267"/>
      <c r="FT2" s="267"/>
      <c r="FU2" s="267"/>
      <c r="FV2" s="267"/>
      <c r="FW2" s="267"/>
      <c r="FX2" s="267"/>
      <c r="FY2" s="267"/>
      <c r="FZ2" s="267"/>
      <c r="GA2" s="267"/>
      <c r="GB2" s="267"/>
      <c r="GC2" s="267"/>
      <c r="GD2" s="267"/>
      <c r="GE2" s="267"/>
      <c r="GF2" s="267"/>
      <c r="GG2" s="267"/>
      <c r="GH2" s="267"/>
      <c r="GI2" s="267"/>
      <c r="GJ2" s="267"/>
    </row>
    <row r="3" spans="2:192" s="3" customFormat="1" ht="66" customHeight="1" thickBot="1">
      <c r="B3" s="405" t="s">
        <v>182</v>
      </c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190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7"/>
      <c r="AK3" s="267"/>
      <c r="AL3" s="267"/>
      <c r="AM3" s="267"/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7"/>
      <c r="BF3" s="267"/>
      <c r="BG3" s="267"/>
      <c r="BH3" s="267"/>
      <c r="BI3" s="267"/>
      <c r="BJ3" s="267"/>
      <c r="BK3" s="267"/>
      <c r="BL3" s="267"/>
      <c r="BM3" s="267"/>
      <c r="BN3" s="267"/>
      <c r="BO3" s="267"/>
      <c r="BP3" s="267"/>
      <c r="BQ3" s="267"/>
      <c r="BR3" s="267"/>
      <c r="BS3" s="267"/>
      <c r="BT3" s="267"/>
      <c r="BU3" s="267"/>
      <c r="BV3" s="267"/>
      <c r="BW3" s="267"/>
      <c r="BX3" s="267"/>
      <c r="BY3" s="267"/>
      <c r="BZ3" s="267"/>
      <c r="CA3" s="267"/>
      <c r="CB3" s="267"/>
      <c r="CC3" s="267"/>
      <c r="CD3" s="267"/>
      <c r="CE3" s="267"/>
      <c r="CF3" s="267"/>
      <c r="CG3" s="267"/>
      <c r="CH3" s="267"/>
      <c r="CI3" s="267"/>
      <c r="CJ3" s="267"/>
      <c r="CK3" s="267"/>
      <c r="CL3" s="267"/>
      <c r="CM3" s="267"/>
      <c r="CN3" s="267"/>
      <c r="CO3" s="267"/>
      <c r="CP3" s="267"/>
      <c r="CQ3" s="267"/>
      <c r="CR3" s="267"/>
      <c r="CS3" s="267"/>
      <c r="CT3" s="267"/>
      <c r="CU3" s="267"/>
      <c r="CV3" s="267"/>
      <c r="CW3" s="267"/>
      <c r="CX3" s="267"/>
      <c r="CY3" s="267"/>
      <c r="CZ3" s="267"/>
      <c r="DA3" s="267"/>
      <c r="DB3" s="267"/>
      <c r="DC3" s="267"/>
      <c r="DD3" s="267"/>
      <c r="DE3" s="267"/>
      <c r="DF3" s="267"/>
      <c r="DG3" s="267"/>
      <c r="DH3" s="267"/>
      <c r="DI3" s="267"/>
      <c r="DJ3" s="267"/>
      <c r="DK3" s="267"/>
      <c r="DL3" s="267"/>
      <c r="DM3" s="267"/>
      <c r="DN3" s="267"/>
      <c r="DO3" s="267"/>
      <c r="DP3" s="267"/>
      <c r="DQ3" s="267"/>
      <c r="DR3" s="267"/>
      <c r="DS3" s="267"/>
      <c r="DT3" s="267"/>
      <c r="DU3" s="267"/>
      <c r="DV3" s="267"/>
      <c r="DW3" s="267"/>
      <c r="DX3" s="267"/>
      <c r="DY3" s="267"/>
      <c r="DZ3" s="267"/>
      <c r="EA3" s="267"/>
      <c r="EB3" s="267"/>
      <c r="EC3" s="267"/>
      <c r="ED3" s="267"/>
      <c r="EE3" s="267"/>
      <c r="EF3" s="267"/>
      <c r="EG3" s="267"/>
      <c r="EH3" s="267"/>
      <c r="EI3" s="267"/>
      <c r="EJ3" s="267"/>
      <c r="EK3" s="267"/>
      <c r="EL3" s="267"/>
      <c r="EM3" s="267"/>
      <c r="EN3" s="267"/>
      <c r="EO3" s="267"/>
      <c r="EP3" s="267"/>
      <c r="EQ3" s="267"/>
      <c r="ER3" s="267"/>
      <c r="ES3" s="267"/>
      <c r="ET3" s="267"/>
      <c r="EU3" s="267"/>
      <c r="EV3" s="267"/>
      <c r="EW3" s="267"/>
      <c r="EX3" s="267"/>
      <c r="EY3" s="267"/>
      <c r="EZ3" s="267"/>
      <c r="FA3" s="267"/>
      <c r="FB3" s="267"/>
      <c r="FC3" s="267"/>
      <c r="FD3" s="267"/>
      <c r="FE3" s="267"/>
      <c r="FF3" s="267"/>
      <c r="FG3" s="267"/>
      <c r="FH3" s="267"/>
      <c r="FI3" s="267"/>
      <c r="FJ3" s="267"/>
      <c r="FK3" s="267"/>
      <c r="FL3" s="267"/>
      <c r="FM3" s="267"/>
      <c r="FN3" s="267"/>
      <c r="FO3" s="267"/>
      <c r="FP3" s="267"/>
      <c r="FQ3" s="267"/>
      <c r="FR3" s="267"/>
      <c r="FS3" s="267"/>
      <c r="FT3" s="267"/>
      <c r="FU3" s="267"/>
      <c r="FV3" s="267"/>
      <c r="FW3" s="267"/>
      <c r="FX3" s="267"/>
      <c r="FY3" s="267"/>
      <c r="FZ3" s="267"/>
      <c r="GA3" s="267"/>
      <c r="GB3" s="267"/>
      <c r="GC3" s="267"/>
      <c r="GD3" s="267"/>
      <c r="GE3" s="267"/>
      <c r="GF3" s="267"/>
      <c r="GG3" s="267"/>
      <c r="GH3" s="267"/>
      <c r="GI3" s="267"/>
      <c r="GJ3" s="267"/>
    </row>
    <row r="4" spans="2:192" s="3" customFormat="1" ht="14.25" customHeight="1" thickBot="1"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7"/>
      <c r="DF4" s="267"/>
      <c r="DG4" s="267"/>
      <c r="DH4" s="267"/>
      <c r="DI4" s="267"/>
      <c r="DJ4" s="267"/>
      <c r="DK4" s="267"/>
      <c r="DL4" s="267"/>
      <c r="DM4" s="267"/>
      <c r="DN4" s="267"/>
      <c r="DO4" s="267"/>
      <c r="DP4" s="267"/>
      <c r="DQ4" s="267"/>
      <c r="DR4" s="267"/>
      <c r="DS4" s="267"/>
      <c r="DT4" s="267"/>
      <c r="DU4" s="267"/>
      <c r="DV4" s="267"/>
      <c r="DW4" s="267"/>
      <c r="DX4" s="267"/>
      <c r="DY4" s="267"/>
      <c r="DZ4" s="267"/>
      <c r="EA4" s="267"/>
      <c r="EB4" s="267"/>
      <c r="EC4" s="267"/>
      <c r="ED4" s="267"/>
      <c r="EE4" s="267"/>
      <c r="EF4" s="267"/>
      <c r="EG4" s="267"/>
      <c r="EH4" s="267"/>
      <c r="EI4" s="267"/>
      <c r="EJ4" s="267"/>
      <c r="EK4" s="267"/>
      <c r="EL4" s="267"/>
      <c r="EM4" s="267"/>
      <c r="EN4" s="267"/>
      <c r="EO4" s="267"/>
      <c r="EP4" s="267"/>
      <c r="EQ4" s="267"/>
      <c r="ER4" s="267"/>
      <c r="ES4" s="267"/>
      <c r="ET4" s="267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7"/>
      <c r="FO4" s="267"/>
      <c r="FP4" s="267"/>
      <c r="FQ4" s="267"/>
      <c r="FR4" s="267"/>
      <c r="FS4" s="267"/>
      <c r="FT4" s="267"/>
      <c r="FU4" s="267"/>
      <c r="FV4" s="267"/>
      <c r="FW4" s="267"/>
      <c r="FX4" s="267"/>
      <c r="FY4" s="267"/>
      <c r="FZ4" s="267"/>
      <c r="GA4" s="267"/>
      <c r="GB4" s="267"/>
      <c r="GC4" s="267"/>
      <c r="GD4" s="267"/>
      <c r="GE4" s="267"/>
      <c r="GF4" s="267"/>
      <c r="GG4" s="267"/>
      <c r="GH4" s="267"/>
      <c r="GI4" s="267"/>
      <c r="GJ4" s="267"/>
    </row>
    <row r="5" spans="2:192" s="3" customFormat="1" ht="33" customHeight="1" thickBot="1">
      <c r="B5" s="408" t="s">
        <v>454</v>
      </c>
      <c r="C5" s="409"/>
      <c r="D5" s="410"/>
      <c r="F5" s="392" t="s">
        <v>183</v>
      </c>
      <c r="G5" s="392"/>
      <c r="H5" s="392"/>
      <c r="J5" s="396" t="s">
        <v>221</v>
      </c>
      <c r="K5" s="397"/>
      <c r="L5" s="398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67"/>
      <c r="AQ5" s="267"/>
      <c r="AR5" s="267"/>
      <c r="AS5" s="267"/>
      <c r="AT5" s="267"/>
      <c r="AU5" s="267"/>
      <c r="AV5" s="267"/>
      <c r="AW5" s="267"/>
      <c r="AX5" s="267"/>
      <c r="AY5" s="267"/>
      <c r="AZ5" s="267"/>
      <c r="BA5" s="267"/>
      <c r="BB5" s="267"/>
      <c r="BC5" s="267"/>
      <c r="BD5" s="267"/>
      <c r="BE5" s="267"/>
      <c r="BF5" s="267"/>
      <c r="BG5" s="267"/>
      <c r="BH5" s="267"/>
      <c r="BI5" s="267"/>
      <c r="BJ5" s="267"/>
      <c r="BK5" s="267"/>
      <c r="BL5" s="267"/>
      <c r="BM5" s="267"/>
      <c r="BN5" s="267"/>
      <c r="BO5" s="267"/>
      <c r="BP5" s="267"/>
      <c r="BQ5" s="267"/>
      <c r="BR5" s="267"/>
      <c r="BS5" s="267"/>
      <c r="BT5" s="267"/>
      <c r="BU5" s="267"/>
      <c r="BV5" s="267"/>
      <c r="BW5" s="267"/>
      <c r="BX5" s="267"/>
      <c r="BY5" s="267"/>
      <c r="BZ5" s="267"/>
      <c r="CA5" s="267"/>
      <c r="CB5" s="267"/>
      <c r="CC5" s="267"/>
      <c r="CD5" s="267"/>
      <c r="CE5" s="267"/>
      <c r="CF5" s="267"/>
      <c r="CG5" s="267"/>
      <c r="CH5" s="267"/>
      <c r="CI5" s="267"/>
      <c r="CJ5" s="267"/>
      <c r="CK5" s="267"/>
      <c r="CL5" s="267"/>
      <c r="CM5" s="267"/>
      <c r="CN5" s="267"/>
      <c r="CO5" s="267"/>
      <c r="CP5" s="267"/>
      <c r="CQ5" s="267"/>
      <c r="CR5" s="267"/>
      <c r="CS5" s="267"/>
      <c r="CT5" s="267"/>
      <c r="CU5" s="267"/>
      <c r="CV5" s="267"/>
      <c r="CW5" s="267"/>
      <c r="CX5" s="267"/>
      <c r="CY5" s="267"/>
      <c r="CZ5" s="267"/>
      <c r="DA5" s="267"/>
      <c r="DB5" s="267"/>
      <c r="DC5" s="267"/>
      <c r="DD5" s="267"/>
      <c r="DE5" s="267"/>
      <c r="DF5" s="267"/>
      <c r="DG5" s="267"/>
      <c r="DH5" s="267"/>
      <c r="DI5" s="267"/>
      <c r="DJ5" s="267"/>
      <c r="DK5" s="267"/>
      <c r="DL5" s="267"/>
      <c r="DM5" s="267"/>
      <c r="DN5" s="267"/>
      <c r="DO5" s="267"/>
      <c r="DP5" s="267"/>
      <c r="DQ5" s="267"/>
      <c r="DR5" s="267"/>
      <c r="DS5" s="267"/>
      <c r="DT5" s="267"/>
      <c r="DU5" s="267"/>
      <c r="DV5" s="267"/>
      <c r="DW5" s="267"/>
      <c r="DX5" s="267"/>
      <c r="DY5" s="267"/>
      <c r="DZ5" s="267"/>
      <c r="EA5" s="267"/>
      <c r="EB5" s="267"/>
      <c r="EC5" s="267"/>
      <c r="ED5" s="267"/>
      <c r="EE5" s="267"/>
      <c r="EF5" s="267"/>
      <c r="EG5" s="267"/>
      <c r="EH5" s="267"/>
      <c r="EI5" s="267"/>
      <c r="EJ5" s="267"/>
      <c r="EK5" s="267"/>
      <c r="EL5" s="267"/>
      <c r="EM5" s="267"/>
      <c r="EN5" s="267"/>
      <c r="EO5" s="267"/>
      <c r="EP5" s="267"/>
      <c r="EQ5" s="267"/>
      <c r="ER5" s="267"/>
      <c r="ES5" s="267"/>
      <c r="ET5" s="267"/>
      <c r="EU5" s="267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/>
      <c r="FJ5" s="267"/>
      <c r="FK5" s="267"/>
      <c r="FL5" s="267"/>
      <c r="FM5" s="267"/>
      <c r="FN5" s="267"/>
      <c r="FO5" s="267"/>
      <c r="FP5" s="267"/>
      <c r="FQ5" s="267"/>
      <c r="FR5" s="267"/>
      <c r="FS5" s="267"/>
      <c r="FT5" s="267"/>
      <c r="FU5" s="267"/>
      <c r="FV5" s="267"/>
      <c r="FW5" s="267"/>
      <c r="FX5" s="267"/>
      <c r="FY5" s="267"/>
      <c r="FZ5" s="267"/>
      <c r="GA5" s="267"/>
      <c r="GB5" s="267"/>
      <c r="GC5" s="267"/>
      <c r="GD5" s="267"/>
      <c r="GE5" s="267"/>
      <c r="GF5" s="267"/>
      <c r="GG5" s="267"/>
      <c r="GH5" s="267"/>
      <c r="GI5" s="267"/>
      <c r="GJ5" s="267"/>
    </row>
    <row r="6" spans="2:192" s="3" customFormat="1">
      <c r="B6" s="202"/>
      <c r="C6" s="200"/>
      <c r="D6" s="201"/>
      <c r="F6" s="202"/>
      <c r="G6" s="200"/>
      <c r="H6" s="201"/>
      <c r="J6" s="209" t="s">
        <v>219</v>
      </c>
      <c r="K6" s="204">
        <v>35</v>
      </c>
      <c r="L6" s="194" t="s">
        <v>21</v>
      </c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67"/>
      <c r="AQ6" s="267"/>
      <c r="AR6" s="267"/>
      <c r="AS6" s="267"/>
      <c r="AT6" s="267"/>
      <c r="AU6" s="267"/>
      <c r="AV6" s="267"/>
      <c r="AW6" s="267"/>
      <c r="AX6" s="267"/>
      <c r="AY6" s="267"/>
      <c r="AZ6" s="267"/>
      <c r="BA6" s="267"/>
      <c r="BB6" s="267"/>
      <c r="BC6" s="267"/>
      <c r="BD6" s="267"/>
      <c r="BE6" s="267"/>
      <c r="BF6" s="267"/>
      <c r="BG6" s="267"/>
      <c r="BH6" s="267"/>
      <c r="BI6" s="267"/>
      <c r="BJ6" s="267"/>
      <c r="BK6" s="267"/>
      <c r="BL6" s="267"/>
      <c r="BM6" s="267"/>
      <c r="BN6" s="267"/>
      <c r="BO6" s="267"/>
      <c r="BP6" s="267"/>
      <c r="BQ6" s="267"/>
      <c r="BR6" s="267"/>
      <c r="BS6" s="267"/>
      <c r="BT6" s="267"/>
      <c r="BU6" s="267"/>
      <c r="BV6" s="267"/>
      <c r="BW6" s="267"/>
      <c r="BX6" s="267"/>
      <c r="BY6" s="267"/>
      <c r="BZ6" s="267"/>
      <c r="CA6" s="267"/>
      <c r="CB6" s="267"/>
      <c r="CC6" s="267"/>
      <c r="CD6" s="267"/>
      <c r="CE6" s="267"/>
      <c r="CF6" s="267"/>
      <c r="CG6" s="267"/>
      <c r="CH6" s="267"/>
      <c r="CI6" s="267"/>
      <c r="CJ6" s="267"/>
      <c r="CK6" s="267"/>
      <c r="CL6" s="267"/>
      <c r="CM6" s="267"/>
      <c r="CN6" s="267"/>
      <c r="CO6" s="267"/>
      <c r="CP6" s="267"/>
      <c r="CQ6" s="267"/>
      <c r="CR6" s="267"/>
      <c r="CS6" s="267"/>
      <c r="CT6" s="267"/>
      <c r="CU6" s="267"/>
      <c r="CV6" s="267"/>
      <c r="CW6" s="267"/>
      <c r="CX6" s="267"/>
      <c r="CY6" s="267"/>
      <c r="CZ6" s="267"/>
      <c r="DA6" s="267"/>
      <c r="DB6" s="267"/>
      <c r="DC6" s="267"/>
      <c r="DD6" s="267"/>
      <c r="DE6" s="267"/>
      <c r="DF6" s="267"/>
      <c r="DG6" s="267"/>
      <c r="DH6" s="267"/>
      <c r="DI6" s="267"/>
      <c r="DJ6" s="267"/>
      <c r="DK6" s="267"/>
      <c r="DL6" s="267"/>
      <c r="DM6" s="267"/>
      <c r="DN6" s="267"/>
      <c r="DO6" s="267"/>
      <c r="DP6" s="267"/>
      <c r="DQ6" s="267"/>
      <c r="DR6" s="267"/>
      <c r="DS6" s="267"/>
      <c r="DT6" s="267"/>
      <c r="DU6" s="267"/>
      <c r="DV6" s="267"/>
      <c r="DW6" s="267"/>
      <c r="DX6" s="267"/>
      <c r="DY6" s="267"/>
      <c r="DZ6" s="267"/>
      <c r="EA6" s="267"/>
      <c r="EB6" s="267"/>
      <c r="EC6" s="267"/>
      <c r="ED6" s="267"/>
      <c r="EE6" s="267"/>
      <c r="EF6" s="267"/>
      <c r="EG6" s="267"/>
      <c r="EH6" s="267"/>
      <c r="EI6" s="267"/>
      <c r="EJ6" s="267"/>
      <c r="EK6" s="267"/>
      <c r="EL6" s="267"/>
      <c r="EM6" s="267"/>
      <c r="EN6" s="267"/>
      <c r="EO6" s="267"/>
      <c r="EP6" s="267"/>
      <c r="EQ6" s="267"/>
      <c r="ER6" s="267"/>
      <c r="ES6" s="267"/>
      <c r="ET6" s="267"/>
      <c r="EU6" s="267"/>
      <c r="EV6" s="267"/>
      <c r="EW6" s="267"/>
      <c r="EX6" s="267"/>
      <c r="EY6" s="267"/>
      <c r="EZ6" s="267"/>
      <c r="FA6" s="267"/>
      <c r="FB6" s="267"/>
      <c r="FC6" s="267"/>
      <c r="FD6" s="267"/>
      <c r="FE6" s="267"/>
      <c r="FF6" s="267"/>
      <c r="FG6" s="267"/>
      <c r="FH6" s="267"/>
      <c r="FI6" s="267"/>
      <c r="FJ6" s="267"/>
      <c r="FK6" s="267"/>
      <c r="FL6" s="267"/>
      <c r="FM6" s="267"/>
      <c r="FN6" s="267"/>
      <c r="FO6" s="267"/>
      <c r="FP6" s="267"/>
      <c r="FQ6" s="267"/>
      <c r="FR6" s="267"/>
      <c r="FS6" s="267"/>
      <c r="FT6" s="267"/>
      <c r="FU6" s="267"/>
      <c r="FV6" s="267"/>
      <c r="FW6" s="267"/>
      <c r="FX6" s="267"/>
      <c r="FY6" s="267"/>
      <c r="FZ6" s="267"/>
      <c r="GA6" s="267"/>
      <c r="GB6" s="267"/>
      <c r="GC6" s="267"/>
      <c r="GD6" s="267"/>
      <c r="GE6" s="267"/>
      <c r="GF6" s="267"/>
      <c r="GG6" s="267"/>
      <c r="GH6" s="267"/>
      <c r="GI6" s="267"/>
      <c r="GJ6" s="267"/>
    </row>
    <row r="7" spans="2:192" s="3" customFormat="1">
      <c r="B7" s="209" t="s">
        <v>184</v>
      </c>
      <c r="C7" s="204">
        <v>44</v>
      </c>
      <c r="D7" s="194" t="s">
        <v>185</v>
      </c>
      <c r="F7" s="209" t="s">
        <v>184</v>
      </c>
      <c r="G7" s="204">
        <v>50</v>
      </c>
      <c r="H7" s="194" t="s">
        <v>185</v>
      </c>
      <c r="J7" s="209" t="s">
        <v>186</v>
      </c>
      <c r="K7" s="204">
        <v>0.66</v>
      </c>
      <c r="L7" s="194" t="s">
        <v>187</v>
      </c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7"/>
      <c r="AK7" s="267"/>
      <c r="AL7" s="267"/>
      <c r="AM7" s="267"/>
      <c r="AN7" s="267"/>
      <c r="AO7" s="267"/>
      <c r="AP7" s="267"/>
      <c r="AQ7" s="267"/>
      <c r="AR7" s="267"/>
      <c r="AS7" s="267"/>
      <c r="AT7" s="267"/>
      <c r="AU7" s="267"/>
      <c r="AV7" s="267"/>
      <c r="AW7" s="267"/>
      <c r="AX7" s="267"/>
      <c r="AY7" s="267"/>
      <c r="AZ7" s="267"/>
      <c r="BA7" s="267"/>
      <c r="BB7" s="267"/>
      <c r="BC7" s="267"/>
      <c r="BD7" s="267"/>
      <c r="BE7" s="267"/>
      <c r="BF7" s="267"/>
      <c r="BG7" s="267"/>
      <c r="BH7" s="267"/>
      <c r="BI7" s="267"/>
      <c r="BJ7" s="267"/>
      <c r="BK7" s="267"/>
      <c r="BL7" s="267"/>
      <c r="BM7" s="267"/>
      <c r="BN7" s="267"/>
      <c r="BO7" s="267"/>
      <c r="BP7" s="267"/>
      <c r="BQ7" s="267"/>
      <c r="BR7" s="267"/>
      <c r="BS7" s="267"/>
      <c r="BT7" s="267"/>
      <c r="BU7" s="267"/>
      <c r="BV7" s="267"/>
      <c r="BW7" s="267"/>
      <c r="BX7" s="267"/>
      <c r="BY7" s="267"/>
      <c r="BZ7" s="267"/>
      <c r="CA7" s="267"/>
      <c r="CB7" s="267"/>
      <c r="CC7" s="267"/>
      <c r="CD7" s="267"/>
      <c r="CE7" s="267"/>
      <c r="CF7" s="267"/>
      <c r="CG7" s="267"/>
      <c r="CH7" s="267"/>
      <c r="CI7" s="267"/>
      <c r="CJ7" s="267"/>
      <c r="CK7" s="267"/>
      <c r="CL7" s="267"/>
      <c r="CM7" s="267"/>
      <c r="CN7" s="267"/>
      <c r="CO7" s="267"/>
      <c r="CP7" s="267"/>
      <c r="CQ7" s="267"/>
      <c r="CR7" s="267"/>
      <c r="CS7" s="267"/>
      <c r="CT7" s="267"/>
      <c r="CU7" s="267"/>
      <c r="CV7" s="267"/>
      <c r="CW7" s="267"/>
      <c r="CX7" s="267"/>
      <c r="CY7" s="267"/>
      <c r="CZ7" s="267"/>
      <c r="DA7" s="267"/>
      <c r="DB7" s="267"/>
      <c r="DC7" s="267"/>
      <c r="DD7" s="267"/>
      <c r="DE7" s="267"/>
      <c r="DF7" s="267"/>
      <c r="DG7" s="267"/>
      <c r="DH7" s="267"/>
      <c r="DI7" s="267"/>
      <c r="DJ7" s="267"/>
      <c r="DK7" s="267"/>
      <c r="DL7" s="267"/>
      <c r="DM7" s="267"/>
      <c r="DN7" s="267"/>
      <c r="DO7" s="267"/>
      <c r="DP7" s="267"/>
      <c r="DQ7" s="267"/>
      <c r="DR7" s="267"/>
      <c r="DS7" s="267"/>
      <c r="DT7" s="267"/>
      <c r="DU7" s="267"/>
      <c r="DV7" s="267"/>
      <c r="DW7" s="267"/>
      <c r="DX7" s="267"/>
      <c r="DY7" s="267"/>
      <c r="DZ7" s="267"/>
      <c r="EA7" s="267"/>
      <c r="EB7" s="267"/>
      <c r="EC7" s="267"/>
      <c r="ED7" s="267"/>
      <c r="EE7" s="267"/>
      <c r="EF7" s="267"/>
      <c r="EG7" s="267"/>
      <c r="EH7" s="267"/>
      <c r="EI7" s="267"/>
      <c r="EJ7" s="267"/>
      <c r="EK7" s="267"/>
      <c r="EL7" s="267"/>
      <c r="EM7" s="267"/>
      <c r="EN7" s="267"/>
      <c r="EO7" s="267"/>
      <c r="EP7" s="267"/>
      <c r="EQ7" s="267"/>
      <c r="ER7" s="267"/>
      <c r="ES7" s="267"/>
      <c r="ET7" s="267"/>
      <c r="EU7" s="267"/>
      <c r="EV7" s="267"/>
      <c r="EW7" s="267"/>
      <c r="EX7" s="267"/>
      <c r="EY7" s="267"/>
      <c r="EZ7" s="267"/>
      <c r="FA7" s="267"/>
      <c r="FB7" s="267"/>
      <c r="FC7" s="267"/>
      <c r="FD7" s="267"/>
      <c r="FE7" s="267"/>
      <c r="FF7" s="267"/>
      <c r="FG7" s="267"/>
      <c r="FH7" s="267"/>
      <c r="FI7" s="267"/>
      <c r="FJ7" s="267"/>
      <c r="FK7" s="267"/>
      <c r="FL7" s="267"/>
      <c r="FM7" s="267"/>
      <c r="FN7" s="267"/>
      <c r="FO7" s="267"/>
      <c r="FP7" s="267"/>
      <c r="FQ7" s="267"/>
      <c r="FR7" s="267"/>
      <c r="FS7" s="267"/>
      <c r="FT7" s="267"/>
      <c r="FU7" s="267"/>
      <c r="FV7" s="267"/>
      <c r="FW7" s="267"/>
      <c r="FX7" s="267"/>
      <c r="FY7" s="267"/>
      <c r="FZ7" s="267"/>
      <c r="GA7" s="267"/>
      <c r="GB7" s="267"/>
      <c r="GC7" s="267"/>
      <c r="GD7" s="267"/>
      <c r="GE7" s="267"/>
      <c r="GF7" s="267"/>
      <c r="GG7" s="267"/>
      <c r="GH7" s="267"/>
      <c r="GI7" s="267"/>
      <c r="GJ7" s="267"/>
    </row>
    <row r="8" spans="2:192" s="3" customFormat="1">
      <c r="B8" s="209" t="s">
        <v>188</v>
      </c>
      <c r="C8" s="204">
        <v>8</v>
      </c>
      <c r="D8" s="194" t="s">
        <v>185</v>
      </c>
      <c r="F8" s="209" t="s">
        <v>188</v>
      </c>
      <c r="G8" s="204">
        <v>12</v>
      </c>
      <c r="H8" s="194" t="s">
        <v>185</v>
      </c>
      <c r="J8" s="209" t="s">
        <v>189</v>
      </c>
      <c r="K8" s="204">
        <v>12</v>
      </c>
      <c r="L8" s="194" t="s">
        <v>21</v>
      </c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7"/>
      <c r="AK8" s="267"/>
      <c r="AL8" s="267"/>
      <c r="AM8" s="267"/>
      <c r="AN8" s="267"/>
      <c r="AO8" s="267"/>
      <c r="AP8" s="267"/>
      <c r="AQ8" s="267"/>
      <c r="AR8" s="267"/>
      <c r="AS8" s="267"/>
      <c r="AT8" s="267"/>
      <c r="AU8" s="267"/>
      <c r="AV8" s="267"/>
      <c r="AW8" s="267"/>
      <c r="AX8" s="267"/>
      <c r="AY8" s="267"/>
      <c r="AZ8" s="267"/>
      <c r="BA8" s="267"/>
      <c r="BB8" s="267"/>
      <c r="BC8" s="267"/>
      <c r="BD8" s="267"/>
      <c r="BE8" s="267"/>
      <c r="BF8" s="267"/>
      <c r="BG8" s="267"/>
      <c r="BH8" s="267"/>
      <c r="BI8" s="267"/>
      <c r="BJ8" s="267"/>
      <c r="BK8" s="267"/>
      <c r="BL8" s="267"/>
      <c r="BM8" s="267"/>
      <c r="BN8" s="267"/>
      <c r="BO8" s="267"/>
      <c r="BP8" s="267"/>
      <c r="BQ8" s="267"/>
      <c r="BR8" s="267"/>
      <c r="BS8" s="267"/>
      <c r="BT8" s="267"/>
      <c r="BU8" s="267"/>
      <c r="BV8" s="267"/>
      <c r="BW8" s="267"/>
      <c r="BX8" s="267"/>
      <c r="BY8" s="267"/>
      <c r="BZ8" s="267"/>
      <c r="CA8" s="267"/>
      <c r="CB8" s="267"/>
      <c r="CC8" s="267"/>
      <c r="CD8" s="267"/>
      <c r="CE8" s="267"/>
      <c r="CF8" s="267"/>
      <c r="CG8" s="267"/>
      <c r="CH8" s="267"/>
      <c r="CI8" s="267"/>
      <c r="CJ8" s="267"/>
      <c r="CK8" s="267"/>
      <c r="CL8" s="267"/>
      <c r="CM8" s="267"/>
      <c r="CN8" s="267"/>
      <c r="CO8" s="267"/>
      <c r="CP8" s="267"/>
      <c r="CQ8" s="267"/>
      <c r="CR8" s="267"/>
      <c r="CS8" s="267"/>
      <c r="CT8" s="267"/>
      <c r="CU8" s="267"/>
      <c r="CV8" s="267"/>
      <c r="CW8" s="267"/>
      <c r="CX8" s="267"/>
      <c r="CY8" s="267"/>
      <c r="CZ8" s="267"/>
      <c r="DA8" s="267"/>
      <c r="DB8" s="267"/>
      <c r="DC8" s="267"/>
      <c r="DD8" s="267"/>
      <c r="DE8" s="267"/>
      <c r="DF8" s="267"/>
      <c r="DG8" s="267"/>
      <c r="DH8" s="267"/>
      <c r="DI8" s="267"/>
      <c r="DJ8" s="267"/>
      <c r="DK8" s="267"/>
      <c r="DL8" s="267"/>
      <c r="DM8" s="267"/>
      <c r="DN8" s="267"/>
      <c r="DO8" s="267"/>
      <c r="DP8" s="267"/>
      <c r="DQ8" s="267"/>
      <c r="DR8" s="267"/>
      <c r="DS8" s="267"/>
      <c r="DT8" s="267"/>
      <c r="DU8" s="267"/>
      <c r="DV8" s="267"/>
      <c r="DW8" s="267"/>
      <c r="DX8" s="267"/>
      <c r="DY8" s="267"/>
      <c r="DZ8" s="267"/>
      <c r="EA8" s="267"/>
      <c r="EB8" s="267"/>
      <c r="EC8" s="267"/>
      <c r="ED8" s="267"/>
      <c r="EE8" s="267"/>
      <c r="EF8" s="267"/>
      <c r="EG8" s="267"/>
      <c r="EH8" s="267"/>
      <c r="EI8" s="267"/>
      <c r="EJ8" s="267"/>
      <c r="EK8" s="267"/>
      <c r="EL8" s="267"/>
      <c r="EM8" s="267"/>
      <c r="EN8" s="267"/>
      <c r="EO8" s="267"/>
      <c r="EP8" s="267"/>
      <c r="EQ8" s="267"/>
      <c r="ER8" s="267"/>
      <c r="ES8" s="267"/>
      <c r="ET8" s="267"/>
      <c r="EU8" s="267"/>
      <c r="EV8" s="267"/>
      <c r="EW8" s="267"/>
      <c r="EX8" s="267"/>
      <c r="EY8" s="267"/>
      <c r="EZ8" s="267"/>
      <c r="FA8" s="267"/>
      <c r="FB8" s="267"/>
      <c r="FC8" s="267"/>
      <c r="FD8" s="267"/>
      <c r="FE8" s="267"/>
      <c r="FF8" s="267"/>
      <c r="FG8" s="267"/>
      <c r="FH8" s="267"/>
      <c r="FI8" s="267"/>
      <c r="FJ8" s="267"/>
      <c r="FK8" s="267"/>
      <c r="FL8" s="267"/>
      <c r="FM8" s="267"/>
      <c r="FN8" s="267"/>
      <c r="FO8" s="267"/>
      <c r="FP8" s="267"/>
      <c r="FQ8" s="267"/>
      <c r="FR8" s="267"/>
      <c r="FS8" s="267"/>
      <c r="FT8" s="267"/>
      <c r="FU8" s="267"/>
      <c r="FV8" s="267"/>
      <c r="FW8" s="267"/>
      <c r="FX8" s="267"/>
      <c r="FY8" s="267"/>
      <c r="FZ8" s="267"/>
      <c r="GA8" s="267"/>
      <c r="GB8" s="267"/>
      <c r="GC8" s="267"/>
      <c r="GD8" s="267"/>
      <c r="GE8" s="267"/>
      <c r="GF8" s="267"/>
      <c r="GG8" s="267"/>
      <c r="GH8" s="267"/>
      <c r="GI8" s="267"/>
      <c r="GJ8" s="267"/>
    </row>
    <row r="9" spans="2:192" s="3" customFormat="1">
      <c r="B9" s="209" t="s">
        <v>190</v>
      </c>
      <c r="C9" s="204">
        <v>2.5</v>
      </c>
      <c r="D9" s="194" t="s">
        <v>185</v>
      </c>
      <c r="F9" s="209" t="s">
        <v>190</v>
      </c>
      <c r="G9" s="204">
        <v>2</v>
      </c>
      <c r="H9" s="194" t="s">
        <v>185</v>
      </c>
      <c r="J9" s="403" t="s">
        <v>224</v>
      </c>
      <c r="K9" s="206">
        <f>'Erfassung Daten'!C39/50/K6/10</f>
        <v>6.4571428571428573</v>
      </c>
      <c r="L9" s="249" t="s">
        <v>215</v>
      </c>
      <c r="N9" s="267"/>
      <c r="O9" s="267"/>
      <c r="P9" s="267"/>
      <c r="Q9" s="267"/>
      <c r="R9" s="267"/>
      <c r="S9" s="267"/>
      <c r="T9" s="267"/>
      <c r="U9" s="267"/>
      <c r="V9" s="267"/>
      <c r="W9" s="267"/>
      <c r="X9" s="267"/>
      <c r="Y9" s="267"/>
      <c r="Z9" s="267"/>
      <c r="AA9" s="267"/>
      <c r="AB9" s="267"/>
      <c r="AC9" s="267"/>
      <c r="AD9" s="267"/>
      <c r="AE9" s="267"/>
      <c r="AF9" s="267"/>
      <c r="AG9" s="267"/>
      <c r="AH9" s="267"/>
      <c r="AI9" s="267"/>
      <c r="AJ9" s="267"/>
      <c r="AK9" s="267"/>
      <c r="AL9" s="267"/>
      <c r="AM9" s="267"/>
      <c r="AN9" s="267"/>
      <c r="AO9" s="267"/>
      <c r="AP9" s="267"/>
      <c r="AQ9" s="267"/>
      <c r="AR9" s="267"/>
      <c r="AS9" s="267"/>
      <c r="AT9" s="267"/>
      <c r="AU9" s="267"/>
      <c r="AV9" s="267"/>
      <c r="AW9" s="267"/>
      <c r="AX9" s="267"/>
      <c r="AY9" s="267"/>
      <c r="AZ9" s="267"/>
      <c r="BA9" s="267"/>
      <c r="BB9" s="267"/>
      <c r="BC9" s="267"/>
      <c r="BD9" s="267"/>
      <c r="BE9" s="267"/>
      <c r="BF9" s="267"/>
      <c r="BG9" s="267"/>
      <c r="BH9" s="267"/>
      <c r="BI9" s="267"/>
      <c r="BJ9" s="267"/>
      <c r="BK9" s="267"/>
      <c r="BL9" s="267"/>
      <c r="BM9" s="267"/>
      <c r="BN9" s="267"/>
      <c r="BO9" s="267"/>
      <c r="BP9" s="267"/>
      <c r="BQ9" s="267"/>
      <c r="BR9" s="267"/>
      <c r="BS9" s="267"/>
      <c r="BT9" s="267"/>
      <c r="BU9" s="267"/>
      <c r="BV9" s="267"/>
      <c r="BW9" s="267"/>
      <c r="BX9" s="267"/>
      <c r="BY9" s="267"/>
      <c r="BZ9" s="267"/>
      <c r="CA9" s="267"/>
      <c r="CB9" s="267"/>
      <c r="CC9" s="267"/>
      <c r="CD9" s="267"/>
      <c r="CE9" s="267"/>
      <c r="CF9" s="267"/>
      <c r="CG9" s="267"/>
      <c r="CH9" s="267"/>
      <c r="CI9" s="267"/>
      <c r="CJ9" s="267"/>
      <c r="CK9" s="267"/>
      <c r="CL9" s="267"/>
      <c r="CM9" s="267"/>
      <c r="CN9" s="267"/>
      <c r="CO9" s="267"/>
      <c r="CP9" s="267"/>
      <c r="CQ9" s="267"/>
      <c r="CR9" s="267"/>
      <c r="CS9" s="267"/>
      <c r="CT9" s="267"/>
      <c r="CU9" s="267"/>
      <c r="CV9" s="267"/>
      <c r="CW9" s="267"/>
      <c r="CX9" s="267"/>
      <c r="CY9" s="267"/>
      <c r="CZ9" s="267"/>
      <c r="DA9" s="267"/>
      <c r="DB9" s="267"/>
      <c r="DC9" s="267"/>
      <c r="DD9" s="267"/>
      <c r="DE9" s="267"/>
      <c r="DF9" s="267"/>
      <c r="DG9" s="267"/>
      <c r="DH9" s="267"/>
      <c r="DI9" s="267"/>
      <c r="DJ9" s="267"/>
      <c r="DK9" s="267"/>
      <c r="DL9" s="267"/>
      <c r="DM9" s="267"/>
      <c r="DN9" s="267"/>
      <c r="DO9" s="267"/>
      <c r="DP9" s="267"/>
      <c r="DQ9" s="267"/>
      <c r="DR9" s="267"/>
      <c r="DS9" s="267"/>
      <c r="DT9" s="267"/>
      <c r="DU9" s="267"/>
      <c r="DV9" s="267"/>
      <c r="DW9" s="267"/>
      <c r="DX9" s="267"/>
      <c r="DY9" s="267"/>
      <c r="DZ9" s="267"/>
      <c r="EA9" s="267"/>
      <c r="EB9" s="267"/>
      <c r="EC9" s="267"/>
      <c r="ED9" s="267"/>
      <c r="EE9" s="267"/>
      <c r="EF9" s="267"/>
      <c r="EG9" s="267"/>
      <c r="EH9" s="267"/>
      <c r="EI9" s="267"/>
      <c r="EJ9" s="267"/>
      <c r="EK9" s="267"/>
      <c r="EL9" s="267"/>
      <c r="EM9" s="267"/>
      <c r="EN9" s="267"/>
      <c r="EO9" s="267"/>
      <c r="EP9" s="267"/>
      <c r="EQ9" s="267"/>
      <c r="ER9" s="267"/>
      <c r="ES9" s="267"/>
      <c r="ET9" s="267"/>
      <c r="EU9" s="267"/>
      <c r="EV9" s="267"/>
      <c r="EW9" s="267"/>
      <c r="EX9" s="267"/>
      <c r="EY9" s="267"/>
      <c r="EZ9" s="267"/>
      <c r="FA9" s="267"/>
      <c r="FB9" s="267"/>
      <c r="FC9" s="267"/>
      <c r="FD9" s="267"/>
      <c r="FE9" s="267"/>
      <c r="FF9" s="267"/>
      <c r="FG9" s="267"/>
      <c r="FH9" s="267"/>
      <c r="FI9" s="267"/>
      <c r="FJ9" s="267"/>
      <c r="FK9" s="267"/>
      <c r="FL9" s="267"/>
      <c r="FM9" s="267"/>
      <c r="FN9" s="267"/>
      <c r="FO9" s="267"/>
      <c r="FP9" s="267"/>
      <c r="FQ9" s="267"/>
      <c r="FR9" s="267"/>
      <c r="FS9" s="267"/>
      <c r="FT9" s="267"/>
      <c r="FU9" s="267"/>
      <c r="FV9" s="267"/>
      <c r="FW9" s="267"/>
      <c r="FX9" s="267"/>
      <c r="FY9" s="267"/>
      <c r="FZ9" s="267"/>
      <c r="GA9" s="267"/>
      <c r="GB9" s="267"/>
      <c r="GC9" s="267"/>
      <c r="GD9" s="267"/>
      <c r="GE9" s="267"/>
      <c r="GF9" s="267"/>
      <c r="GG9" s="267"/>
      <c r="GH9" s="267"/>
      <c r="GI9" s="267"/>
      <c r="GJ9" s="267"/>
    </row>
    <row r="10" spans="2:192" s="3" customFormat="1">
      <c r="B10" s="209"/>
      <c r="C10" s="204"/>
      <c r="D10" s="194"/>
      <c r="F10" s="209"/>
      <c r="G10" s="204"/>
      <c r="H10" s="194"/>
      <c r="J10" s="403"/>
      <c r="K10" s="206">
        <f>+'Erfassung Daten'!E39/50/K6/10</f>
        <v>10.685714285714287</v>
      </c>
      <c r="L10" s="249" t="s">
        <v>216</v>
      </c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267"/>
      <c r="AC10" s="267"/>
      <c r="AD10" s="267"/>
      <c r="AE10" s="267"/>
      <c r="AF10" s="267"/>
      <c r="AG10" s="267"/>
      <c r="AH10" s="267"/>
      <c r="AI10" s="267"/>
      <c r="AJ10" s="267"/>
      <c r="AK10" s="267"/>
      <c r="AL10" s="267"/>
      <c r="AM10" s="267"/>
      <c r="AN10" s="267"/>
      <c r="AO10" s="267"/>
      <c r="AP10" s="267"/>
      <c r="AQ10" s="267"/>
      <c r="AR10" s="267"/>
      <c r="AS10" s="267"/>
      <c r="AT10" s="267"/>
      <c r="AU10" s="267"/>
      <c r="AV10" s="267"/>
      <c r="AW10" s="267"/>
      <c r="AX10" s="267"/>
      <c r="AY10" s="267"/>
      <c r="AZ10" s="267"/>
      <c r="BA10" s="267"/>
      <c r="BB10" s="267"/>
      <c r="BC10" s="267"/>
      <c r="BD10" s="267"/>
      <c r="BE10" s="267"/>
      <c r="BF10" s="267"/>
      <c r="BG10" s="267"/>
      <c r="BH10" s="267"/>
      <c r="BI10" s="267"/>
      <c r="BJ10" s="267"/>
      <c r="BK10" s="267"/>
      <c r="BL10" s="267"/>
      <c r="BM10" s="267"/>
      <c r="BN10" s="267"/>
      <c r="BO10" s="267"/>
      <c r="BP10" s="267"/>
      <c r="BQ10" s="267"/>
      <c r="BR10" s="267"/>
      <c r="BS10" s="267"/>
      <c r="BT10" s="267"/>
      <c r="BU10" s="267"/>
      <c r="BV10" s="267"/>
      <c r="BW10" s="267"/>
      <c r="BX10" s="267"/>
      <c r="BY10" s="267"/>
      <c r="BZ10" s="267"/>
      <c r="CA10" s="267"/>
      <c r="CB10" s="267"/>
      <c r="CC10" s="267"/>
      <c r="CD10" s="267"/>
      <c r="CE10" s="267"/>
      <c r="CF10" s="267"/>
      <c r="CG10" s="267"/>
      <c r="CH10" s="267"/>
      <c r="CI10" s="267"/>
      <c r="CJ10" s="267"/>
      <c r="CK10" s="267"/>
      <c r="CL10" s="267"/>
      <c r="CM10" s="267"/>
      <c r="CN10" s="267"/>
      <c r="CO10" s="267"/>
      <c r="CP10" s="267"/>
      <c r="CQ10" s="267"/>
      <c r="CR10" s="267"/>
      <c r="CS10" s="267"/>
      <c r="CT10" s="267"/>
      <c r="CU10" s="267"/>
      <c r="CV10" s="267"/>
      <c r="CW10" s="267"/>
      <c r="CX10" s="267"/>
      <c r="CY10" s="267"/>
      <c r="CZ10" s="267"/>
      <c r="DA10" s="267"/>
      <c r="DB10" s="267"/>
      <c r="DC10" s="267"/>
      <c r="DD10" s="267"/>
      <c r="DE10" s="267"/>
      <c r="DF10" s="267"/>
      <c r="DG10" s="267"/>
      <c r="DH10" s="267"/>
      <c r="DI10" s="267"/>
      <c r="DJ10" s="267"/>
      <c r="DK10" s="267"/>
      <c r="DL10" s="267"/>
      <c r="DM10" s="267"/>
      <c r="DN10" s="267"/>
      <c r="DO10" s="267"/>
      <c r="DP10" s="267"/>
      <c r="DQ10" s="267"/>
      <c r="DR10" s="267"/>
      <c r="DS10" s="267"/>
      <c r="DT10" s="267"/>
      <c r="DU10" s="267"/>
      <c r="DV10" s="267"/>
      <c r="DW10" s="267"/>
      <c r="DX10" s="267"/>
      <c r="DY10" s="267"/>
      <c r="DZ10" s="267"/>
      <c r="EA10" s="267"/>
      <c r="EB10" s="267"/>
      <c r="EC10" s="267"/>
      <c r="ED10" s="267"/>
      <c r="EE10" s="267"/>
      <c r="EF10" s="267"/>
      <c r="EG10" s="267"/>
      <c r="EH10" s="267"/>
      <c r="EI10" s="267"/>
      <c r="EJ10" s="267"/>
      <c r="EK10" s="267"/>
      <c r="EL10" s="267"/>
      <c r="EM10" s="267"/>
      <c r="EN10" s="267"/>
      <c r="EO10" s="267"/>
      <c r="EP10" s="267"/>
      <c r="EQ10" s="267"/>
      <c r="ER10" s="267"/>
      <c r="ES10" s="267"/>
      <c r="ET10" s="267"/>
      <c r="EU10" s="267"/>
      <c r="EV10" s="267"/>
      <c r="EW10" s="267"/>
      <c r="EX10" s="267"/>
      <c r="EY10" s="267"/>
      <c r="EZ10" s="267"/>
      <c r="FA10" s="267"/>
      <c r="FB10" s="267"/>
      <c r="FC10" s="267"/>
      <c r="FD10" s="267"/>
      <c r="FE10" s="267"/>
      <c r="FF10" s="267"/>
      <c r="FG10" s="267"/>
      <c r="FH10" s="267"/>
      <c r="FI10" s="267"/>
      <c r="FJ10" s="267"/>
      <c r="FK10" s="267"/>
      <c r="FL10" s="267"/>
      <c r="FM10" s="267"/>
      <c r="FN10" s="267"/>
      <c r="FO10" s="267"/>
      <c r="FP10" s="267"/>
      <c r="FQ10" s="267"/>
      <c r="FR10" s="267"/>
      <c r="FS10" s="267"/>
      <c r="FT10" s="267"/>
      <c r="FU10" s="267"/>
      <c r="FV10" s="267"/>
      <c r="FW10" s="267"/>
      <c r="FX10" s="267"/>
      <c r="FY10" s="267"/>
      <c r="FZ10" s="267"/>
      <c r="GA10" s="267"/>
      <c r="GB10" s="267"/>
      <c r="GC10" s="267"/>
      <c r="GD10" s="267"/>
      <c r="GE10" s="267"/>
      <c r="GF10" s="267"/>
      <c r="GG10" s="267"/>
      <c r="GH10" s="267"/>
      <c r="GI10" s="267"/>
      <c r="GJ10" s="267"/>
    </row>
    <row r="11" spans="2:192" s="3" customFormat="1" ht="20.25" customHeight="1">
      <c r="B11" s="209" t="s">
        <v>191</v>
      </c>
      <c r="C11" s="204">
        <f>+C7*C8*3</f>
        <v>1056</v>
      </c>
      <c r="D11" s="194" t="s">
        <v>192</v>
      </c>
      <c r="F11" s="209" t="s">
        <v>191</v>
      </c>
      <c r="G11" s="204">
        <f>+G7*G8</f>
        <v>600</v>
      </c>
      <c r="H11" s="194" t="s">
        <v>192</v>
      </c>
      <c r="J11" s="403" t="s">
        <v>224</v>
      </c>
      <c r="K11" s="205">
        <f>K9*K6/100*1000</f>
        <v>2260</v>
      </c>
      <c r="L11" s="249" t="s">
        <v>217</v>
      </c>
      <c r="N11" s="267"/>
      <c r="O11" s="267"/>
      <c r="P11" s="267"/>
      <c r="Q11" s="267"/>
      <c r="R11" s="267"/>
      <c r="S11" s="267"/>
      <c r="T11" s="267"/>
      <c r="U11" s="267"/>
      <c r="V11" s="267"/>
      <c r="W11" s="267"/>
      <c r="X11" s="267"/>
      <c r="Y11" s="267"/>
      <c r="Z11" s="267"/>
      <c r="AA11" s="267"/>
      <c r="AB11" s="267"/>
      <c r="AC11" s="267"/>
      <c r="AD11" s="267"/>
      <c r="AE11" s="267"/>
      <c r="AF11" s="267"/>
      <c r="AG11" s="267"/>
      <c r="AH11" s="267"/>
      <c r="AI11" s="267"/>
      <c r="AJ11" s="267"/>
      <c r="AK11" s="267"/>
      <c r="AL11" s="267"/>
      <c r="AM11" s="267"/>
      <c r="AN11" s="267"/>
      <c r="AO11" s="267"/>
      <c r="AP11" s="267"/>
      <c r="AQ11" s="267"/>
      <c r="AR11" s="267"/>
      <c r="AS11" s="267"/>
      <c r="AT11" s="267"/>
      <c r="AU11" s="267"/>
      <c r="AV11" s="267"/>
      <c r="AW11" s="267"/>
      <c r="AX11" s="267"/>
      <c r="AY11" s="267"/>
      <c r="AZ11" s="267"/>
      <c r="BA11" s="267"/>
      <c r="BB11" s="267"/>
      <c r="BC11" s="267"/>
      <c r="BD11" s="267"/>
      <c r="BE11" s="267"/>
      <c r="BF11" s="267"/>
      <c r="BG11" s="267"/>
      <c r="BH11" s="267"/>
      <c r="BI11" s="267"/>
      <c r="BJ11" s="267"/>
      <c r="BK11" s="267"/>
      <c r="BL11" s="267"/>
      <c r="BM11" s="267"/>
      <c r="BN11" s="267"/>
      <c r="BO11" s="267"/>
      <c r="BP11" s="267"/>
      <c r="BQ11" s="267"/>
      <c r="BR11" s="267"/>
      <c r="BS11" s="267"/>
      <c r="BT11" s="267"/>
      <c r="BU11" s="267"/>
      <c r="BV11" s="267"/>
      <c r="BW11" s="267"/>
      <c r="BX11" s="267"/>
      <c r="BY11" s="267"/>
      <c r="BZ11" s="267"/>
      <c r="CA11" s="267"/>
      <c r="CB11" s="267"/>
      <c r="CC11" s="267"/>
      <c r="CD11" s="267"/>
      <c r="CE11" s="267"/>
      <c r="CF11" s="267"/>
      <c r="CG11" s="267"/>
      <c r="CH11" s="267"/>
      <c r="CI11" s="267"/>
      <c r="CJ11" s="267"/>
      <c r="CK11" s="267"/>
      <c r="CL11" s="267"/>
      <c r="CM11" s="267"/>
      <c r="CN11" s="267"/>
      <c r="CO11" s="267"/>
      <c r="CP11" s="267"/>
      <c r="CQ11" s="267"/>
      <c r="CR11" s="267"/>
      <c r="CS11" s="267"/>
      <c r="CT11" s="267"/>
      <c r="CU11" s="267"/>
      <c r="CV11" s="267"/>
      <c r="CW11" s="267"/>
      <c r="CX11" s="267"/>
      <c r="CY11" s="267"/>
      <c r="CZ11" s="267"/>
      <c r="DA11" s="267"/>
      <c r="DB11" s="267"/>
      <c r="DC11" s="267"/>
      <c r="DD11" s="267"/>
      <c r="DE11" s="267"/>
      <c r="DF11" s="267"/>
      <c r="DG11" s="267"/>
      <c r="DH11" s="267"/>
      <c r="DI11" s="267"/>
      <c r="DJ11" s="267"/>
      <c r="DK11" s="267"/>
      <c r="DL11" s="267"/>
      <c r="DM11" s="267"/>
      <c r="DN11" s="267"/>
      <c r="DO11" s="267"/>
      <c r="DP11" s="267"/>
      <c r="DQ11" s="267"/>
      <c r="DR11" s="267"/>
      <c r="DS11" s="267"/>
      <c r="DT11" s="267"/>
      <c r="DU11" s="267"/>
      <c r="DV11" s="267"/>
      <c r="DW11" s="267"/>
      <c r="DX11" s="267"/>
      <c r="DY11" s="267"/>
      <c r="DZ11" s="267"/>
      <c r="EA11" s="267"/>
      <c r="EB11" s="267"/>
      <c r="EC11" s="267"/>
      <c r="ED11" s="267"/>
      <c r="EE11" s="267"/>
      <c r="EF11" s="267"/>
      <c r="EG11" s="267"/>
      <c r="EH11" s="267"/>
      <c r="EI11" s="267"/>
      <c r="EJ11" s="267"/>
      <c r="EK11" s="267"/>
      <c r="EL11" s="267"/>
      <c r="EM11" s="267"/>
      <c r="EN11" s="267"/>
      <c r="EO11" s="267"/>
      <c r="EP11" s="267"/>
      <c r="EQ11" s="267"/>
      <c r="ER11" s="267"/>
      <c r="ES11" s="267"/>
      <c r="ET11" s="267"/>
      <c r="EU11" s="267"/>
      <c r="EV11" s="267"/>
      <c r="EW11" s="267"/>
      <c r="EX11" s="267"/>
      <c r="EY11" s="267"/>
      <c r="EZ11" s="267"/>
      <c r="FA11" s="267"/>
      <c r="FB11" s="267"/>
      <c r="FC11" s="267"/>
      <c r="FD11" s="267"/>
      <c r="FE11" s="267"/>
      <c r="FF11" s="267"/>
      <c r="FG11" s="267"/>
      <c r="FH11" s="267"/>
      <c r="FI11" s="267"/>
      <c r="FJ11" s="267"/>
      <c r="FK11" s="267"/>
      <c r="FL11" s="267"/>
      <c r="FM11" s="267"/>
      <c r="FN11" s="267"/>
      <c r="FO11" s="267"/>
      <c r="FP11" s="267"/>
      <c r="FQ11" s="267"/>
      <c r="FR11" s="267"/>
      <c r="FS11" s="267"/>
      <c r="FT11" s="267"/>
      <c r="FU11" s="267"/>
      <c r="FV11" s="267"/>
      <c r="FW11" s="267"/>
      <c r="FX11" s="267"/>
      <c r="FY11" s="267"/>
      <c r="FZ11" s="267"/>
      <c r="GA11" s="267"/>
      <c r="GB11" s="267"/>
      <c r="GC11" s="267"/>
      <c r="GD11" s="267"/>
      <c r="GE11" s="267"/>
      <c r="GF11" s="267"/>
      <c r="GG11" s="267"/>
      <c r="GH11" s="267"/>
      <c r="GI11" s="267"/>
      <c r="GJ11" s="267"/>
    </row>
    <row r="12" spans="2:192" s="3" customFormat="1" ht="16.2" thickBot="1">
      <c r="B12" s="209"/>
      <c r="C12" s="204"/>
      <c r="D12" s="194"/>
      <c r="F12" s="209"/>
      <c r="G12" s="204"/>
      <c r="H12" s="194"/>
      <c r="J12" s="406"/>
      <c r="K12" s="205">
        <f>K10*K6/100*1000</f>
        <v>3740.0000000000005</v>
      </c>
      <c r="L12" s="249" t="s">
        <v>218</v>
      </c>
      <c r="N12" s="267"/>
      <c r="O12" s="267"/>
      <c r="P12" s="267"/>
      <c r="Q12" s="267"/>
      <c r="R12" s="267"/>
      <c r="S12" s="267"/>
      <c r="T12" s="267"/>
      <c r="U12" s="267"/>
      <c r="V12" s="267"/>
      <c r="W12" s="267"/>
      <c r="X12" s="267"/>
      <c r="Y12" s="267"/>
      <c r="Z12" s="267"/>
      <c r="AA12" s="267"/>
      <c r="AB12" s="267"/>
      <c r="AC12" s="267"/>
      <c r="AD12" s="267"/>
      <c r="AE12" s="267"/>
      <c r="AF12" s="267"/>
      <c r="AG12" s="267"/>
      <c r="AH12" s="267"/>
      <c r="AI12" s="267"/>
      <c r="AJ12" s="267"/>
      <c r="AK12" s="267"/>
      <c r="AL12" s="267"/>
      <c r="AM12" s="267"/>
      <c r="AN12" s="267"/>
      <c r="AO12" s="267"/>
      <c r="AP12" s="267"/>
      <c r="AQ12" s="267"/>
      <c r="AR12" s="267"/>
      <c r="AS12" s="267"/>
      <c r="AT12" s="267"/>
      <c r="AU12" s="267"/>
      <c r="AV12" s="267"/>
      <c r="AW12" s="267"/>
      <c r="AX12" s="267"/>
      <c r="AY12" s="267"/>
      <c r="AZ12" s="267"/>
      <c r="BA12" s="267"/>
      <c r="BB12" s="267"/>
      <c r="BC12" s="267"/>
      <c r="BD12" s="267"/>
      <c r="BE12" s="267"/>
      <c r="BF12" s="267"/>
      <c r="BG12" s="267"/>
      <c r="BH12" s="267"/>
      <c r="BI12" s="267"/>
      <c r="BJ12" s="267"/>
      <c r="BK12" s="267"/>
      <c r="BL12" s="267"/>
      <c r="BM12" s="267"/>
      <c r="BN12" s="267"/>
      <c r="BO12" s="267"/>
      <c r="BP12" s="267"/>
      <c r="BQ12" s="267"/>
      <c r="BR12" s="267"/>
      <c r="BS12" s="267"/>
      <c r="BT12" s="267"/>
      <c r="BU12" s="267"/>
      <c r="BV12" s="267"/>
      <c r="BW12" s="267"/>
      <c r="BX12" s="267"/>
      <c r="BY12" s="267"/>
      <c r="BZ12" s="267"/>
      <c r="CA12" s="267"/>
      <c r="CB12" s="267"/>
      <c r="CC12" s="267"/>
      <c r="CD12" s="267"/>
      <c r="CE12" s="267"/>
      <c r="CF12" s="267"/>
      <c r="CG12" s="267"/>
      <c r="CH12" s="267"/>
      <c r="CI12" s="267"/>
      <c r="CJ12" s="267"/>
      <c r="CK12" s="267"/>
      <c r="CL12" s="267"/>
      <c r="CM12" s="267"/>
      <c r="CN12" s="267"/>
      <c r="CO12" s="267"/>
      <c r="CP12" s="267"/>
      <c r="CQ12" s="267"/>
      <c r="CR12" s="267"/>
      <c r="CS12" s="267"/>
      <c r="CT12" s="267"/>
      <c r="CU12" s="267"/>
      <c r="CV12" s="267"/>
      <c r="CW12" s="267"/>
      <c r="CX12" s="267"/>
      <c r="CY12" s="267"/>
      <c r="CZ12" s="267"/>
      <c r="DA12" s="267"/>
      <c r="DB12" s="267"/>
      <c r="DC12" s="267"/>
      <c r="DD12" s="267"/>
      <c r="DE12" s="267"/>
      <c r="DF12" s="267"/>
      <c r="DG12" s="267"/>
      <c r="DH12" s="267"/>
      <c r="DI12" s="267"/>
      <c r="DJ12" s="267"/>
      <c r="DK12" s="267"/>
      <c r="DL12" s="267"/>
      <c r="DM12" s="267"/>
      <c r="DN12" s="267"/>
      <c r="DO12" s="267"/>
      <c r="DP12" s="267"/>
      <c r="DQ12" s="267"/>
      <c r="DR12" s="267"/>
      <c r="DS12" s="267"/>
      <c r="DT12" s="267"/>
      <c r="DU12" s="267"/>
      <c r="DV12" s="267"/>
      <c r="DW12" s="267"/>
      <c r="DX12" s="267"/>
      <c r="DY12" s="267"/>
      <c r="DZ12" s="267"/>
      <c r="EA12" s="267"/>
      <c r="EB12" s="267"/>
      <c r="EC12" s="267"/>
      <c r="ED12" s="267"/>
      <c r="EE12" s="267"/>
      <c r="EF12" s="267"/>
      <c r="EG12" s="267"/>
      <c r="EH12" s="267"/>
      <c r="EI12" s="267"/>
      <c r="EJ12" s="267"/>
      <c r="EK12" s="267"/>
      <c r="EL12" s="267"/>
      <c r="EM12" s="267"/>
      <c r="EN12" s="267"/>
      <c r="EO12" s="267"/>
      <c r="EP12" s="267"/>
      <c r="EQ12" s="267"/>
      <c r="ER12" s="267"/>
      <c r="ES12" s="267"/>
      <c r="ET12" s="267"/>
      <c r="EU12" s="267"/>
      <c r="EV12" s="267"/>
      <c r="EW12" s="267"/>
      <c r="EX12" s="267"/>
      <c r="EY12" s="267"/>
      <c r="EZ12" s="267"/>
      <c r="FA12" s="267"/>
      <c r="FB12" s="267"/>
      <c r="FC12" s="267"/>
      <c r="FD12" s="267"/>
      <c r="FE12" s="267"/>
      <c r="FF12" s="267"/>
      <c r="FG12" s="267"/>
      <c r="FH12" s="267"/>
      <c r="FI12" s="267"/>
      <c r="FJ12" s="267"/>
      <c r="FK12" s="267"/>
      <c r="FL12" s="267"/>
      <c r="FM12" s="267"/>
      <c r="FN12" s="267"/>
      <c r="FO12" s="267"/>
      <c r="FP12" s="267"/>
      <c r="FQ12" s="267"/>
      <c r="FR12" s="267"/>
      <c r="FS12" s="267"/>
      <c r="FT12" s="267"/>
      <c r="FU12" s="267"/>
      <c r="FV12" s="267"/>
      <c r="FW12" s="267"/>
      <c r="FX12" s="267"/>
      <c r="FY12" s="267"/>
      <c r="FZ12" s="267"/>
      <c r="GA12" s="267"/>
      <c r="GB12" s="267"/>
      <c r="GC12" s="267"/>
      <c r="GD12" s="267"/>
      <c r="GE12" s="267"/>
      <c r="GF12" s="267"/>
      <c r="GG12" s="267"/>
      <c r="GH12" s="267"/>
      <c r="GI12" s="267"/>
      <c r="GJ12" s="267"/>
    </row>
    <row r="13" spans="2:192" s="3" customFormat="1" ht="16.2" thickBot="1">
      <c r="B13" s="209" t="s">
        <v>193</v>
      </c>
      <c r="C13" s="205">
        <f>+C7*C8*C9*3</f>
        <v>2640</v>
      </c>
      <c r="D13" s="194" t="s">
        <v>11</v>
      </c>
      <c r="F13" s="209" t="s">
        <v>193</v>
      </c>
      <c r="G13" s="205">
        <f>+G7*G8*G9</f>
        <v>1200</v>
      </c>
      <c r="H13" s="194" t="s">
        <v>11</v>
      </c>
      <c r="J13" s="227" t="s">
        <v>392</v>
      </c>
      <c r="K13" s="228"/>
      <c r="L13" s="229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67"/>
      <c r="Y13" s="267"/>
      <c r="Z13" s="267"/>
      <c r="AA13" s="267"/>
      <c r="AB13" s="267"/>
      <c r="AC13" s="267"/>
      <c r="AD13" s="267"/>
      <c r="AE13" s="267"/>
      <c r="AF13" s="267"/>
      <c r="AG13" s="267"/>
      <c r="AH13" s="267"/>
      <c r="AI13" s="267"/>
      <c r="AJ13" s="267"/>
      <c r="AK13" s="267"/>
      <c r="AL13" s="267"/>
      <c r="AM13" s="267"/>
      <c r="AN13" s="267"/>
      <c r="AO13" s="267"/>
      <c r="AP13" s="267"/>
      <c r="AQ13" s="267"/>
      <c r="AR13" s="267"/>
      <c r="AS13" s="267"/>
      <c r="AT13" s="267"/>
      <c r="AU13" s="267"/>
      <c r="AV13" s="267"/>
      <c r="AW13" s="267"/>
      <c r="AX13" s="267"/>
      <c r="AY13" s="267"/>
      <c r="AZ13" s="267"/>
      <c r="BA13" s="267"/>
      <c r="BB13" s="267"/>
      <c r="BC13" s="267"/>
      <c r="BD13" s="267"/>
      <c r="BE13" s="267"/>
      <c r="BF13" s="267"/>
      <c r="BG13" s="267"/>
      <c r="BH13" s="267"/>
      <c r="BI13" s="267"/>
      <c r="BJ13" s="267"/>
      <c r="BK13" s="267"/>
      <c r="BL13" s="267"/>
      <c r="BM13" s="267"/>
      <c r="BN13" s="267"/>
      <c r="BO13" s="267"/>
      <c r="BP13" s="267"/>
      <c r="BQ13" s="267"/>
      <c r="BR13" s="267"/>
      <c r="BS13" s="267"/>
      <c r="BT13" s="267"/>
      <c r="BU13" s="267"/>
      <c r="BV13" s="267"/>
      <c r="BW13" s="267"/>
      <c r="BX13" s="267"/>
      <c r="BY13" s="267"/>
      <c r="BZ13" s="267"/>
      <c r="CA13" s="267"/>
      <c r="CB13" s="267"/>
      <c r="CC13" s="267"/>
      <c r="CD13" s="267"/>
      <c r="CE13" s="267"/>
      <c r="CF13" s="267"/>
      <c r="CG13" s="267"/>
      <c r="CH13" s="267"/>
      <c r="CI13" s="267"/>
      <c r="CJ13" s="267"/>
      <c r="CK13" s="267"/>
      <c r="CL13" s="267"/>
      <c r="CM13" s="267"/>
      <c r="CN13" s="267"/>
      <c r="CO13" s="267"/>
      <c r="CP13" s="267"/>
      <c r="CQ13" s="267"/>
      <c r="CR13" s="267"/>
      <c r="CS13" s="267"/>
      <c r="CT13" s="267"/>
      <c r="CU13" s="267"/>
      <c r="CV13" s="267"/>
      <c r="CW13" s="267"/>
      <c r="CX13" s="267"/>
      <c r="CY13" s="267"/>
      <c r="CZ13" s="267"/>
      <c r="DA13" s="267"/>
      <c r="DB13" s="267"/>
      <c r="DC13" s="267"/>
      <c r="DD13" s="267"/>
      <c r="DE13" s="267"/>
      <c r="DF13" s="267"/>
      <c r="DG13" s="267"/>
      <c r="DH13" s="267"/>
      <c r="DI13" s="267"/>
      <c r="DJ13" s="267"/>
      <c r="DK13" s="267"/>
      <c r="DL13" s="267"/>
      <c r="DM13" s="267"/>
      <c r="DN13" s="267"/>
      <c r="DO13" s="267"/>
      <c r="DP13" s="267"/>
      <c r="DQ13" s="267"/>
      <c r="DR13" s="267"/>
      <c r="DS13" s="267"/>
      <c r="DT13" s="267"/>
      <c r="DU13" s="267"/>
      <c r="DV13" s="267"/>
      <c r="DW13" s="267"/>
      <c r="DX13" s="267"/>
      <c r="DY13" s="267"/>
      <c r="DZ13" s="267"/>
      <c r="EA13" s="267"/>
      <c r="EB13" s="267"/>
      <c r="EC13" s="267"/>
      <c r="ED13" s="267"/>
      <c r="EE13" s="267"/>
      <c r="EF13" s="267"/>
      <c r="EG13" s="267"/>
      <c r="EH13" s="267"/>
      <c r="EI13" s="267"/>
      <c r="EJ13" s="267"/>
      <c r="EK13" s="267"/>
      <c r="EL13" s="267"/>
      <c r="EM13" s="267"/>
      <c r="EN13" s="267"/>
      <c r="EO13" s="267"/>
      <c r="EP13" s="267"/>
      <c r="EQ13" s="267"/>
      <c r="ER13" s="267"/>
      <c r="ES13" s="267"/>
      <c r="ET13" s="267"/>
      <c r="EU13" s="267"/>
      <c r="EV13" s="267"/>
      <c r="EW13" s="267"/>
      <c r="EX13" s="267"/>
      <c r="EY13" s="267"/>
      <c r="EZ13" s="267"/>
      <c r="FA13" s="267"/>
      <c r="FB13" s="267"/>
      <c r="FC13" s="267"/>
      <c r="FD13" s="267"/>
      <c r="FE13" s="267"/>
      <c r="FF13" s="267"/>
      <c r="FG13" s="267"/>
      <c r="FH13" s="267"/>
      <c r="FI13" s="267"/>
      <c r="FJ13" s="267"/>
      <c r="FK13" s="267"/>
      <c r="FL13" s="267"/>
      <c r="FM13" s="267"/>
      <c r="FN13" s="267"/>
      <c r="FO13" s="267"/>
      <c r="FP13" s="267"/>
      <c r="FQ13" s="267"/>
      <c r="FR13" s="267"/>
      <c r="FS13" s="267"/>
      <c r="FT13" s="267"/>
      <c r="FU13" s="267"/>
      <c r="FV13" s="267"/>
      <c r="FW13" s="267"/>
      <c r="FX13" s="267"/>
      <c r="FY13" s="267"/>
      <c r="FZ13" s="267"/>
      <c r="GA13" s="267"/>
      <c r="GB13" s="267"/>
      <c r="GC13" s="267"/>
      <c r="GD13" s="267"/>
      <c r="GE13" s="267"/>
      <c r="GF13" s="267"/>
      <c r="GG13" s="267"/>
      <c r="GH13" s="267"/>
      <c r="GI13" s="267"/>
      <c r="GJ13" s="267"/>
    </row>
    <row r="14" spans="2:192" s="3" customFormat="1" ht="16.2" thickBot="1">
      <c r="B14" s="209"/>
      <c r="C14" s="204"/>
      <c r="D14" s="194"/>
      <c r="F14" s="209"/>
      <c r="G14" s="204"/>
      <c r="H14" s="194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67"/>
      <c r="AL14" s="267"/>
      <c r="AM14" s="267"/>
      <c r="AN14" s="267"/>
      <c r="AO14" s="267"/>
      <c r="AP14" s="267"/>
      <c r="AQ14" s="267"/>
      <c r="AR14" s="267"/>
      <c r="AS14" s="267"/>
      <c r="AT14" s="267"/>
      <c r="AU14" s="267"/>
      <c r="AV14" s="267"/>
      <c r="AW14" s="267"/>
      <c r="AX14" s="267"/>
      <c r="AY14" s="267"/>
      <c r="AZ14" s="267"/>
      <c r="BA14" s="267"/>
      <c r="BB14" s="267"/>
      <c r="BC14" s="267"/>
      <c r="BD14" s="267"/>
      <c r="BE14" s="267"/>
      <c r="BF14" s="267"/>
      <c r="BG14" s="267"/>
      <c r="BH14" s="267"/>
      <c r="BI14" s="267"/>
      <c r="BJ14" s="267"/>
      <c r="BK14" s="267"/>
      <c r="BL14" s="267"/>
      <c r="BM14" s="267"/>
      <c r="BN14" s="267"/>
      <c r="BO14" s="267"/>
      <c r="BP14" s="267"/>
      <c r="BQ14" s="267"/>
      <c r="BR14" s="267"/>
      <c r="BS14" s="267"/>
      <c r="BT14" s="267"/>
      <c r="BU14" s="267"/>
      <c r="BV14" s="267"/>
      <c r="BW14" s="267"/>
      <c r="BX14" s="267"/>
      <c r="BY14" s="267"/>
      <c r="BZ14" s="267"/>
      <c r="CA14" s="267"/>
      <c r="CB14" s="267"/>
      <c r="CC14" s="267"/>
      <c r="CD14" s="267"/>
      <c r="CE14" s="267"/>
      <c r="CF14" s="267"/>
      <c r="CG14" s="267"/>
      <c r="CH14" s="267"/>
      <c r="CI14" s="267"/>
      <c r="CJ14" s="267"/>
      <c r="CK14" s="267"/>
      <c r="CL14" s="267"/>
      <c r="CM14" s="267"/>
      <c r="CN14" s="267"/>
      <c r="CO14" s="267"/>
      <c r="CP14" s="267"/>
      <c r="CQ14" s="267"/>
      <c r="CR14" s="267"/>
      <c r="CS14" s="267"/>
      <c r="CT14" s="267"/>
      <c r="CU14" s="267"/>
      <c r="CV14" s="267"/>
      <c r="CW14" s="267"/>
      <c r="CX14" s="267"/>
      <c r="CY14" s="267"/>
      <c r="CZ14" s="267"/>
      <c r="DA14" s="267"/>
      <c r="DB14" s="267"/>
      <c r="DC14" s="267"/>
      <c r="DD14" s="267"/>
      <c r="DE14" s="267"/>
      <c r="DF14" s="267"/>
      <c r="DG14" s="267"/>
      <c r="DH14" s="267"/>
      <c r="DI14" s="267"/>
      <c r="DJ14" s="267"/>
      <c r="DK14" s="267"/>
      <c r="DL14" s="267"/>
      <c r="DM14" s="267"/>
      <c r="DN14" s="267"/>
      <c r="DO14" s="267"/>
      <c r="DP14" s="267"/>
      <c r="DQ14" s="267"/>
      <c r="DR14" s="267"/>
      <c r="DS14" s="267"/>
      <c r="DT14" s="267"/>
      <c r="DU14" s="267"/>
      <c r="DV14" s="267"/>
      <c r="DW14" s="267"/>
      <c r="DX14" s="267"/>
      <c r="DY14" s="267"/>
      <c r="DZ14" s="267"/>
      <c r="EA14" s="267"/>
      <c r="EB14" s="267"/>
      <c r="EC14" s="267"/>
      <c r="ED14" s="267"/>
      <c r="EE14" s="267"/>
      <c r="EF14" s="267"/>
      <c r="EG14" s="267"/>
      <c r="EH14" s="267"/>
      <c r="EI14" s="267"/>
      <c r="EJ14" s="267"/>
      <c r="EK14" s="267"/>
      <c r="EL14" s="267"/>
      <c r="EM14" s="267"/>
      <c r="EN14" s="267"/>
      <c r="EO14" s="267"/>
      <c r="EP14" s="267"/>
      <c r="EQ14" s="267"/>
      <c r="ER14" s="267"/>
      <c r="ES14" s="267"/>
      <c r="ET14" s="267"/>
      <c r="EU14" s="267"/>
      <c r="EV14" s="267"/>
      <c r="EW14" s="267"/>
      <c r="EX14" s="267"/>
      <c r="EY14" s="267"/>
      <c r="EZ14" s="267"/>
      <c r="FA14" s="267"/>
      <c r="FB14" s="267"/>
      <c r="FC14" s="267"/>
      <c r="FD14" s="267"/>
      <c r="FE14" s="267"/>
      <c r="FF14" s="267"/>
      <c r="FG14" s="267"/>
      <c r="FH14" s="267"/>
      <c r="FI14" s="267"/>
      <c r="FJ14" s="267"/>
      <c r="FK14" s="267"/>
      <c r="FL14" s="267"/>
      <c r="FM14" s="267"/>
      <c r="FN14" s="267"/>
      <c r="FO14" s="267"/>
      <c r="FP14" s="267"/>
      <c r="FQ14" s="267"/>
      <c r="FR14" s="267"/>
      <c r="FS14" s="267"/>
      <c r="FT14" s="267"/>
      <c r="FU14" s="267"/>
      <c r="FV14" s="267"/>
      <c r="FW14" s="267"/>
      <c r="FX14" s="267"/>
      <c r="FY14" s="267"/>
      <c r="FZ14" s="267"/>
      <c r="GA14" s="267"/>
      <c r="GB14" s="267"/>
      <c r="GC14" s="267"/>
      <c r="GD14" s="267"/>
      <c r="GE14" s="267"/>
      <c r="GF14" s="267"/>
      <c r="GG14" s="267"/>
      <c r="GH14" s="267"/>
      <c r="GI14" s="267"/>
      <c r="GJ14" s="267"/>
    </row>
    <row r="15" spans="2:192" s="3" customFormat="1">
      <c r="B15" s="209" t="s">
        <v>194</v>
      </c>
      <c r="C15" s="205">
        <v>137897</v>
      </c>
      <c r="D15" s="194" t="s">
        <v>8</v>
      </c>
      <c r="F15" s="209" t="s">
        <v>194</v>
      </c>
      <c r="G15" s="205">
        <f>+G11*G17</f>
        <v>35640</v>
      </c>
      <c r="H15" s="194" t="s">
        <v>8</v>
      </c>
      <c r="J15" s="396" t="s">
        <v>220</v>
      </c>
      <c r="K15" s="397"/>
      <c r="L15" s="398"/>
      <c r="N15" s="267"/>
      <c r="O15" s="267"/>
      <c r="P15" s="267"/>
      <c r="Q15" s="267"/>
      <c r="R15" s="267"/>
      <c r="S15" s="267"/>
      <c r="T15" s="267"/>
      <c r="U15" s="267"/>
      <c r="V15" s="267"/>
      <c r="W15" s="267"/>
      <c r="X15" s="267"/>
      <c r="Y15" s="267"/>
      <c r="Z15" s="267"/>
      <c r="AA15" s="267"/>
      <c r="AB15" s="267"/>
      <c r="AC15" s="267"/>
      <c r="AD15" s="267"/>
      <c r="AE15" s="267"/>
      <c r="AF15" s="267"/>
      <c r="AG15" s="267"/>
      <c r="AH15" s="267"/>
      <c r="AI15" s="267"/>
      <c r="AJ15" s="267"/>
      <c r="AK15" s="267"/>
      <c r="AL15" s="267"/>
      <c r="AM15" s="267"/>
      <c r="AN15" s="267"/>
      <c r="AO15" s="267"/>
      <c r="AP15" s="267"/>
      <c r="AQ15" s="267"/>
      <c r="AR15" s="267"/>
      <c r="AS15" s="267"/>
      <c r="AT15" s="267"/>
      <c r="AU15" s="267"/>
      <c r="AV15" s="267"/>
      <c r="AW15" s="267"/>
      <c r="AX15" s="267"/>
      <c r="AY15" s="267"/>
      <c r="AZ15" s="267"/>
      <c r="BA15" s="267"/>
      <c r="BB15" s="267"/>
      <c r="BC15" s="267"/>
      <c r="BD15" s="267"/>
      <c r="BE15" s="267"/>
      <c r="BF15" s="267"/>
      <c r="BG15" s="267"/>
      <c r="BH15" s="267"/>
      <c r="BI15" s="267"/>
      <c r="BJ15" s="267"/>
      <c r="BK15" s="267"/>
      <c r="BL15" s="267"/>
      <c r="BM15" s="267"/>
      <c r="BN15" s="267"/>
      <c r="BO15" s="267"/>
      <c r="BP15" s="267"/>
      <c r="BQ15" s="267"/>
      <c r="BR15" s="267"/>
      <c r="BS15" s="267"/>
      <c r="BT15" s="267"/>
      <c r="BU15" s="267"/>
      <c r="BV15" s="267"/>
      <c r="BW15" s="267"/>
      <c r="BX15" s="267"/>
      <c r="BY15" s="267"/>
      <c r="BZ15" s="267"/>
      <c r="CA15" s="267"/>
      <c r="CB15" s="267"/>
      <c r="CC15" s="267"/>
      <c r="CD15" s="267"/>
      <c r="CE15" s="267"/>
      <c r="CF15" s="267"/>
      <c r="CG15" s="267"/>
      <c r="CH15" s="267"/>
      <c r="CI15" s="267"/>
      <c r="CJ15" s="267"/>
      <c r="CK15" s="267"/>
      <c r="CL15" s="267"/>
      <c r="CM15" s="267"/>
      <c r="CN15" s="267"/>
      <c r="CO15" s="267"/>
      <c r="CP15" s="267"/>
      <c r="CQ15" s="267"/>
      <c r="CR15" s="267"/>
      <c r="CS15" s="267"/>
      <c r="CT15" s="267"/>
      <c r="CU15" s="267"/>
      <c r="CV15" s="267"/>
      <c r="CW15" s="267"/>
      <c r="CX15" s="267"/>
      <c r="CY15" s="267"/>
      <c r="CZ15" s="267"/>
      <c r="DA15" s="267"/>
      <c r="DB15" s="267"/>
      <c r="DC15" s="267"/>
      <c r="DD15" s="267"/>
      <c r="DE15" s="267"/>
      <c r="DF15" s="267"/>
      <c r="DG15" s="267"/>
      <c r="DH15" s="267"/>
      <c r="DI15" s="267"/>
      <c r="DJ15" s="267"/>
      <c r="DK15" s="267"/>
      <c r="DL15" s="267"/>
      <c r="DM15" s="267"/>
      <c r="DN15" s="267"/>
      <c r="DO15" s="267"/>
      <c r="DP15" s="267"/>
      <c r="DQ15" s="267"/>
      <c r="DR15" s="267"/>
      <c r="DS15" s="267"/>
      <c r="DT15" s="267"/>
      <c r="DU15" s="267"/>
      <c r="DV15" s="267"/>
      <c r="DW15" s="267"/>
      <c r="DX15" s="267"/>
      <c r="DY15" s="267"/>
      <c r="DZ15" s="267"/>
      <c r="EA15" s="267"/>
      <c r="EB15" s="267"/>
      <c r="EC15" s="267"/>
      <c r="ED15" s="267"/>
      <c r="EE15" s="267"/>
      <c r="EF15" s="267"/>
      <c r="EG15" s="267"/>
      <c r="EH15" s="267"/>
      <c r="EI15" s="267"/>
      <c r="EJ15" s="267"/>
      <c r="EK15" s="267"/>
      <c r="EL15" s="267"/>
      <c r="EM15" s="267"/>
      <c r="EN15" s="267"/>
      <c r="EO15" s="267"/>
      <c r="EP15" s="267"/>
      <c r="EQ15" s="267"/>
      <c r="ER15" s="267"/>
      <c r="ES15" s="267"/>
      <c r="ET15" s="267"/>
      <c r="EU15" s="267"/>
      <c r="EV15" s="267"/>
      <c r="EW15" s="267"/>
      <c r="EX15" s="267"/>
      <c r="EY15" s="267"/>
      <c r="EZ15" s="267"/>
      <c r="FA15" s="267"/>
      <c r="FB15" s="267"/>
      <c r="FC15" s="267"/>
      <c r="FD15" s="267"/>
      <c r="FE15" s="267"/>
      <c r="FF15" s="267"/>
      <c r="FG15" s="267"/>
      <c r="FH15" s="267"/>
      <c r="FI15" s="267"/>
      <c r="FJ15" s="267"/>
      <c r="FK15" s="267"/>
      <c r="FL15" s="267"/>
      <c r="FM15" s="267"/>
      <c r="FN15" s="267"/>
      <c r="FO15" s="267"/>
      <c r="FP15" s="267"/>
      <c r="FQ15" s="267"/>
      <c r="FR15" s="267"/>
      <c r="FS15" s="267"/>
      <c r="FT15" s="267"/>
      <c r="FU15" s="267"/>
      <c r="FV15" s="267"/>
      <c r="FW15" s="267"/>
      <c r="FX15" s="267"/>
      <c r="FY15" s="267"/>
      <c r="FZ15" s="267"/>
      <c r="GA15" s="267"/>
      <c r="GB15" s="267"/>
      <c r="GC15" s="267"/>
      <c r="GD15" s="267"/>
      <c r="GE15" s="267"/>
      <c r="GF15" s="267"/>
      <c r="GG15" s="267"/>
      <c r="GH15" s="267"/>
      <c r="GI15" s="267"/>
      <c r="GJ15" s="267"/>
    </row>
    <row r="16" spans="2:192" s="3" customFormat="1">
      <c r="B16" s="209"/>
      <c r="C16" s="205"/>
      <c r="D16" s="194"/>
      <c r="F16" s="209"/>
      <c r="G16" s="204"/>
      <c r="H16" s="194"/>
      <c r="J16" s="211" t="s">
        <v>219</v>
      </c>
      <c r="K16" s="204">
        <v>35</v>
      </c>
      <c r="L16" s="194" t="s">
        <v>21</v>
      </c>
      <c r="N16" s="267"/>
      <c r="O16" s="267"/>
      <c r="P16" s="267"/>
      <c r="Q16" s="267"/>
      <c r="R16" s="267"/>
      <c r="S16" s="267"/>
      <c r="T16" s="267"/>
      <c r="U16" s="267"/>
      <c r="V16" s="267"/>
      <c r="W16" s="267"/>
      <c r="X16" s="267"/>
      <c r="Y16" s="267"/>
      <c r="Z16" s="267"/>
      <c r="AA16" s="267"/>
      <c r="AB16" s="267"/>
      <c r="AC16" s="267"/>
      <c r="AD16" s="267"/>
      <c r="AE16" s="267"/>
      <c r="AF16" s="267"/>
      <c r="AG16" s="267"/>
      <c r="AH16" s="267"/>
      <c r="AI16" s="267"/>
      <c r="AJ16" s="267"/>
      <c r="AK16" s="267"/>
      <c r="AL16" s="267"/>
      <c r="AM16" s="267"/>
      <c r="AN16" s="267"/>
      <c r="AO16" s="267"/>
      <c r="AP16" s="267"/>
      <c r="AQ16" s="267"/>
      <c r="AR16" s="267"/>
      <c r="AS16" s="267"/>
      <c r="AT16" s="267"/>
      <c r="AU16" s="267"/>
      <c r="AV16" s="267"/>
      <c r="AW16" s="267"/>
      <c r="AX16" s="267"/>
      <c r="AY16" s="267"/>
      <c r="AZ16" s="267"/>
      <c r="BA16" s="267"/>
      <c r="BB16" s="267"/>
      <c r="BC16" s="267"/>
      <c r="BD16" s="267"/>
      <c r="BE16" s="267"/>
      <c r="BF16" s="267"/>
      <c r="BG16" s="267"/>
      <c r="BH16" s="267"/>
      <c r="BI16" s="267"/>
      <c r="BJ16" s="267"/>
      <c r="BK16" s="267"/>
      <c r="BL16" s="267"/>
      <c r="BM16" s="267"/>
      <c r="BN16" s="267"/>
      <c r="BO16" s="267"/>
      <c r="BP16" s="267"/>
      <c r="BQ16" s="267"/>
      <c r="BR16" s="267"/>
      <c r="BS16" s="267"/>
      <c r="BT16" s="267"/>
      <c r="BU16" s="267"/>
      <c r="BV16" s="267"/>
      <c r="BW16" s="267"/>
      <c r="BX16" s="267"/>
      <c r="BY16" s="267"/>
      <c r="BZ16" s="267"/>
      <c r="CA16" s="267"/>
      <c r="CB16" s="267"/>
      <c r="CC16" s="267"/>
      <c r="CD16" s="267"/>
      <c r="CE16" s="267"/>
      <c r="CF16" s="267"/>
      <c r="CG16" s="267"/>
      <c r="CH16" s="267"/>
      <c r="CI16" s="267"/>
      <c r="CJ16" s="267"/>
      <c r="CK16" s="267"/>
      <c r="CL16" s="267"/>
      <c r="CM16" s="267"/>
      <c r="CN16" s="267"/>
      <c r="CO16" s="267"/>
      <c r="CP16" s="267"/>
      <c r="CQ16" s="267"/>
      <c r="CR16" s="267"/>
      <c r="CS16" s="267"/>
      <c r="CT16" s="267"/>
      <c r="CU16" s="267"/>
      <c r="CV16" s="267"/>
      <c r="CW16" s="267"/>
      <c r="CX16" s="267"/>
      <c r="CY16" s="267"/>
      <c r="CZ16" s="267"/>
      <c r="DA16" s="267"/>
      <c r="DB16" s="267"/>
      <c r="DC16" s="267"/>
      <c r="DD16" s="267"/>
      <c r="DE16" s="267"/>
      <c r="DF16" s="267"/>
      <c r="DG16" s="267"/>
      <c r="DH16" s="267"/>
      <c r="DI16" s="267"/>
      <c r="DJ16" s="267"/>
      <c r="DK16" s="267"/>
      <c r="DL16" s="267"/>
      <c r="DM16" s="267"/>
      <c r="DN16" s="267"/>
      <c r="DO16" s="267"/>
      <c r="DP16" s="267"/>
      <c r="DQ16" s="267"/>
      <c r="DR16" s="267"/>
      <c r="DS16" s="267"/>
      <c r="DT16" s="267"/>
      <c r="DU16" s="267"/>
      <c r="DV16" s="267"/>
      <c r="DW16" s="267"/>
      <c r="DX16" s="267"/>
      <c r="DY16" s="267"/>
      <c r="DZ16" s="267"/>
      <c r="EA16" s="267"/>
      <c r="EB16" s="267"/>
      <c r="EC16" s="267"/>
      <c r="ED16" s="267"/>
      <c r="EE16" s="267"/>
      <c r="EF16" s="267"/>
      <c r="EG16" s="267"/>
      <c r="EH16" s="267"/>
      <c r="EI16" s="267"/>
      <c r="EJ16" s="267"/>
      <c r="EK16" s="267"/>
      <c r="EL16" s="267"/>
      <c r="EM16" s="267"/>
      <c r="EN16" s="267"/>
      <c r="EO16" s="267"/>
      <c r="EP16" s="267"/>
      <c r="EQ16" s="267"/>
      <c r="ER16" s="267"/>
      <c r="ES16" s="267"/>
      <c r="ET16" s="267"/>
      <c r="EU16" s="267"/>
      <c r="EV16" s="267"/>
      <c r="EW16" s="267"/>
      <c r="EX16" s="267"/>
      <c r="EY16" s="267"/>
      <c r="EZ16" s="267"/>
      <c r="FA16" s="267"/>
      <c r="FB16" s="267"/>
      <c r="FC16" s="267"/>
      <c r="FD16" s="267"/>
      <c r="FE16" s="267"/>
      <c r="FF16" s="267"/>
      <c r="FG16" s="267"/>
      <c r="FH16" s="267"/>
      <c r="FI16" s="267"/>
      <c r="FJ16" s="267"/>
      <c r="FK16" s="267"/>
      <c r="FL16" s="267"/>
      <c r="FM16" s="267"/>
      <c r="FN16" s="267"/>
      <c r="FO16" s="267"/>
      <c r="FP16" s="267"/>
      <c r="FQ16" s="267"/>
      <c r="FR16" s="267"/>
      <c r="FS16" s="267"/>
      <c r="FT16" s="267"/>
      <c r="FU16" s="267"/>
      <c r="FV16" s="267"/>
      <c r="FW16" s="267"/>
      <c r="FX16" s="267"/>
      <c r="FY16" s="267"/>
      <c r="FZ16" s="267"/>
      <c r="GA16" s="267"/>
      <c r="GB16" s="267"/>
      <c r="GC16" s="267"/>
      <c r="GD16" s="267"/>
      <c r="GE16" s="267"/>
      <c r="GF16" s="267"/>
      <c r="GG16" s="267"/>
      <c r="GH16" s="267"/>
      <c r="GI16" s="267"/>
      <c r="GJ16" s="267"/>
    </row>
    <row r="17" spans="2:192" s="3" customFormat="1">
      <c r="B17" s="209" t="s">
        <v>194</v>
      </c>
      <c r="C17" s="206">
        <f>+C15/C11</f>
        <v>130.58428030303031</v>
      </c>
      <c r="D17" s="194" t="s">
        <v>195</v>
      </c>
      <c r="F17" s="209" t="s">
        <v>194</v>
      </c>
      <c r="G17" s="205">
        <f>54*1.1</f>
        <v>59.400000000000006</v>
      </c>
      <c r="H17" s="194" t="s">
        <v>195</v>
      </c>
      <c r="J17" s="211" t="s">
        <v>186</v>
      </c>
      <c r="K17" s="204">
        <v>0.6</v>
      </c>
      <c r="L17" s="194" t="s">
        <v>187</v>
      </c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7"/>
      <c r="BF17" s="267"/>
      <c r="BG17" s="267"/>
      <c r="BH17" s="267"/>
      <c r="BI17" s="267"/>
      <c r="BJ17" s="267"/>
      <c r="BK17" s="267"/>
      <c r="BL17" s="267"/>
      <c r="BM17" s="267"/>
      <c r="BN17" s="267"/>
      <c r="BO17" s="267"/>
      <c r="BP17" s="267"/>
      <c r="BQ17" s="267"/>
      <c r="BR17" s="267"/>
      <c r="BS17" s="267"/>
      <c r="BT17" s="267"/>
      <c r="BU17" s="267"/>
      <c r="BV17" s="267"/>
      <c r="BW17" s="267"/>
      <c r="BX17" s="267"/>
      <c r="BY17" s="267"/>
      <c r="BZ17" s="267"/>
      <c r="CA17" s="267"/>
      <c r="CB17" s="267"/>
      <c r="CC17" s="267"/>
      <c r="CD17" s="267"/>
      <c r="CE17" s="267"/>
      <c r="CF17" s="267"/>
      <c r="CG17" s="267"/>
      <c r="CH17" s="267"/>
      <c r="CI17" s="267"/>
      <c r="CJ17" s="267"/>
      <c r="CK17" s="267"/>
      <c r="CL17" s="267"/>
      <c r="CM17" s="267"/>
      <c r="CN17" s="267"/>
      <c r="CO17" s="267"/>
      <c r="CP17" s="267"/>
      <c r="CQ17" s="267"/>
      <c r="CR17" s="267"/>
      <c r="CS17" s="267"/>
      <c r="CT17" s="267"/>
      <c r="CU17" s="267"/>
      <c r="CV17" s="267"/>
      <c r="CW17" s="267"/>
      <c r="CX17" s="267"/>
      <c r="CY17" s="267"/>
      <c r="CZ17" s="267"/>
      <c r="DA17" s="267"/>
      <c r="DB17" s="267"/>
      <c r="DC17" s="267"/>
      <c r="DD17" s="267"/>
      <c r="DE17" s="267"/>
      <c r="DF17" s="267"/>
      <c r="DG17" s="267"/>
      <c r="DH17" s="267"/>
      <c r="DI17" s="267"/>
      <c r="DJ17" s="267"/>
      <c r="DK17" s="267"/>
      <c r="DL17" s="267"/>
      <c r="DM17" s="267"/>
      <c r="DN17" s="267"/>
      <c r="DO17" s="267"/>
      <c r="DP17" s="267"/>
      <c r="DQ17" s="267"/>
      <c r="DR17" s="267"/>
      <c r="DS17" s="267"/>
      <c r="DT17" s="267"/>
      <c r="DU17" s="267"/>
      <c r="DV17" s="267"/>
      <c r="DW17" s="267"/>
      <c r="DX17" s="267"/>
      <c r="DY17" s="267"/>
      <c r="DZ17" s="267"/>
      <c r="EA17" s="267"/>
      <c r="EB17" s="267"/>
      <c r="EC17" s="267"/>
      <c r="ED17" s="267"/>
      <c r="EE17" s="267"/>
      <c r="EF17" s="267"/>
      <c r="EG17" s="267"/>
      <c r="EH17" s="267"/>
      <c r="EI17" s="267"/>
      <c r="EJ17" s="267"/>
      <c r="EK17" s="267"/>
      <c r="EL17" s="267"/>
      <c r="EM17" s="267"/>
      <c r="EN17" s="267"/>
      <c r="EO17" s="267"/>
      <c r="EP17" s="267"/>
      <c r="EQ17" s="267"/>
      <c r="ER17" s="267"/>
      <c r="ES17" s="267"/>
      <c r="ET17" s="267"/>
      <c r="EU17" s="267"/>
      <c r="EV17" s="267"/>
      <c r="EW17" s="267"/>
      <c r="EX17" s="267"/>
      <c r="EY17" s="267"/>
      <c r="EZ17" s="267"/>
      <c r="FA17" s="267"/>
      <c r="FB17" s="267"/>
      <c r="FC17" s="267"/>
      <c r="FD17" s="267"/>
      <c r="FE17" s="267"/>
      <c r="FF17" s="267"/>
      <c r="FG17" s="267"/>
      <c r="FH17" s="267"/>
      <c r="FI17" s="267"/>
      <c r="FJ17" s="267"/>
      <c r="FK17" s="267"/>
      <c r="FL17" s="267"/>
      <c r="FM17" s="267"/>
      <c r="FN17" s="267"/>
      <c r="FO17" s="267"/>
      <c r="FP17" s="267"/>
      <c r="FQ17" s="267"/>
      <c r="FR17" s="267"/>
      <c r="FS17" s="267"/>
      <c r="FT17" s="267"/>
      <c r="FU17" s="267"/>
      <c r="FV17" s="267"/>
      <c r="FW17" s="267"/>
      <c r="FX17" s="267"/>
      <c r="FY17" s="267"/>
      <c r="FZ17" s="267"/>
      <c r="GA17" s="267"/>
      <c r="GB17" s="267"/>
      <c r="GC17" s="267"/>
      <c r="GD17" s="267"/>
      <c r="GE17" s="267"/>
      <c r="GF17" s="267"/>
      <c r="GG17" s="267"/>
      <c r="GH17" s="267"/>
      <c r="GI17" s="267"/>
      <c r="GJ17" s="267"/>
    </row>
    <row r="18" spans="2:192" s="3" customFormat="1">
      <c r="B18" s="209"/>
      <c r="C18" s="204"/>
      <c r="D18" s="194"/>
      <c r="F18" s="209"/>
      <c r="G18" s="204"/>
      <c r="H18" s="194"/>
      <c r="J18" s="211" t="s">
        <v>189</v>
      </c>
      <c r="K18" s="204">
        <v>9.6999999999999993</v>
      </c>
      <c r="L18" s="194" t="s">
        <v>21</v>
      </c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7"/>
      <c r="AT18" s="267"/>
      <c r="AU18" s="267"/>
      <c r="AV18" s="267"/>
      <c r="AW18" s="267"/>
      <c r="AX18" s="267"/>
      <c r="AY18" s="267"/>
      <c r="AZ18" s="267"/>
      <c r="BA18" s="267"/>
      <c r="BB18" s="267"/>
      <c r="BC18" s="267"/>
      <c r="BD18" s="267"/>
      <c r="BE18" s="267"/>
      <c r="BF18" s="267"/>
      <c r="BG18" s="267"/>
      <c r="BH18" s="267"/>
      <c r="BI18" s="267"/>
      <c r="BJ18" s="267"/>
      <c r="BK18" s="267"/>
      <c r="BL18" s="267"/>
      <c r="BM18" s="267"/>
      <c r="BN18" s="267"/>
      <c r="BO18" s="267"/>
      <c r="BP18" s="267"/>
      <c r="BQ18" s="267"/>
      <c r="BR18" s="267"/>
      <c r="BS18" s="267"/>
      <c r="BT18" s="267"/>
      <c r="BU18" s="267"/>
      <c r="BV18" s="267"/>
      <c r="BW18" s="267"/>
      <c r="BX18" s="267"/>
      <c r="BY18" s="267"/>
      <c r="BZ18" s="267"/>
      <c r="CA18" s="267"/>
      <c r="CB18" s="267"/>
      <c r="CC18" s="267"/>
      <c r="CD18" s="267"/>
      <c r="CE18" s="267"/>
      <c r="CF18" s="267"/>
      <c r="CG18" s="267"/>
      <c r="CH18" s="267"/>
      <c r="CI18" s="267"/>
      <c r="CJ18" s="267"/>
      <c r="CK18" s="267"/>
      <c r="CL18" s="267"/>
      <c r="CM18" s="267"/>
      <c r="CN18" s="267"/>
      <c r="CO18" s="267"/>
      <c r="CP18" s="267"/>
      <c r="CQ18" s="267"/>
      <c r="CR18" s="267"/>
      <c r="CS18" s="267"/>
      <c r="CT18" s="267"/>
      <c r="CU18" s="267"/>
      <c r="CV18" s="267"/>
      <c r="CW18" s="267"/>
      <c r="CX18" s="267"/>
      <c r="CY18" s="267"/>
      <c r="CZ18" s="267"/>
      <c r="DA18" s="267"/>
      <c r="DB18" s="267"/>
      <c r="DC18" s="267"/>
      <c r="DD18" s="267"/>
      <c r="DE18" s="267"/>
      <c r="DF18" s="267"/>
      <c r="DG18" s="267"/>
      <c r="DH18" s="267"/>
      <c r="DI18" s="267"/>
      <c r="DJ18" s="267"/>
      <c r="DK18" s="267"/>
      <c r="DL18" s="267"/>
      <c r="DM18" s="267"/>
      <c r="DN18" s="267"/>
      <c r="DO18" s="267"/>
      <c r="DP18" s="267"/>
      <c r="DQ18" s="267"/>
      <c r="DR18" s="267"/>
      <c r="DS18" s="267"/>
      <c r="DT18" s="267"/>
      <c r="DU18" s="267"/>
      <c r="DV18" s="267"/>
      <c r="DW18" s="267"/>
      <c r="DX18" s="267"/>
      <c r="DY18" s="267"/>
      <c r="DZ18" s="267"/>
      <c r="EA18" s="267"/>
      <c r="EB18" s="267"/>
      <c r="EC18" s="267"/>
      <c r="ED18" s="267"/>
      <c r="EE18" s="267"/>
      <c r="EF18" s="267"/>
      <c r="EG18" s="267"/>
      <c r="EH18" s="267"/>
      <c r="EI18" s="267"/>
      <c r="EJ18" s="267"/>
      <c r="EK18" s="267"/>
      <c r="EL18" s="267"/>
      <c r="EM18" s="267"/>
      <c r="EN18" s="267"/>
      <c r="EO18" s="267"/>
      <c r="EP18" s="267"/>
      <c r="EQ18" s="267"/>
      <c r="ER18" s="267"/>
      <c r="ES18" s="267"/>
      <c r="ET18" s="267"/>
      <c r="EU18" s="267"/>
      <c r="EV18" s="267"/>
      <c r="EW18" s="267"/>
      <c r="EX18" s="267"/>
      <c r="EY18" s="267"/>
      <c r="EZ18" s="267"/>
      <c r="FA18" s="267"/>
      <c r="FB18" s="267"/>
      <c r="FC18" s="267"/>
      <c r="FD18" s="267"/>
      <c r="FE18" s="267"/>
      <c r="FF18" s="267"/>
      <c r="FG18" s="267"/>
      <c r="FH18" s="267"/>
      <c r="FI18" s="267"/>
      <c r="FJ18" s="267"/>
      <c r="FK18" s="267"/>
      <c r="FL18" s="267"/>
      <c r="FM18" s="267"/>
      <c r="FN18" s="267"/>
      <c r="FO18" s="267"/>
      <c r="FP18" s="267"/>
      <c r="FQ18" s="267"/>
      <c r="FR18" s="267"/>
      <c r="FS18" s="267"/>
      <c r="FT18" s="267"/>
      <c r="FU18" s="267"/>
      <c r="FV18" s="267"/>
      <c r="FW18" s="267"/>
      <c r="FX18" s="267"/>
      <c r="FY18" s="267"/>
      <c r="FZ18" s="267"/>
      <c r="GA18" s="267"/>
      <c r="GB18" s="267"/>
      <c r="GC18" s="267"/>
      <c r="GD18" s="267"/>
      <c r="GE18" s="267"/>
      <c r="GF18" s="267"/>
      <c r="GG18" s="267"/>
      <c r="GH18" s="267"/>
      <c r="GI18" s="267"/>
      <c r="GJ18" s="267"/>
    </row>
    <row r="19" spans="2:192" s="3" customFormat="1">
      <c r="B19" s="209" t="s">
        <v>194</v>
      </c>
      <c r="C19" s="205">
        <f>+C15/C13</f>
        <v>52.233712121212122</v>
      </c>
      <c r="D19" s="194" t="s">
        <v>105</v>
      </c>
      <c r="F19" s="209" t="s">
        <v>194</v>
      </c>
      <c r="G19" s="206">
        <f>+G15/G13</f>
        <v>29.7</v>
      </c>
      <c r="H19" s="194" t="s">
        <v>105</v>
      </c>
      <c r="J19" s="399" t="s">
        <v>224</v>
      </c>
      <c r="K19" s="206">
        <f>+'Erfassung Daten'!C38/40/K16/10</f>
        <v>5.2785714285714285</v>
      </c>
      <c r="L19" s="249" t="s">
        <v>215</v>
      </c>
      <c r="N19" s="267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  <c r="Z19" s="267"/>
      <c r="AA19" s="267"/>
      <c r="AB19" s="267"/>
      <c r="AC19" s="267"/>
      <c r="AD19" s="267"/>
      <c r="AE19" s="267"/>
      <c r="AF19" s="267"/>
      <c r="AG19" s="267"/>
      <c r="AH19" s="267"/>
      <c r="AI19" s="267"/>
      <c r="AJ19" s="267"/>
      <c r="AK19" s="267"/>
      <c r="AL19" s="267"/>
      <c r="AM19" s="267"/>
      <c r="AN19" s="267"/>
      <c r="AO19" s="267"/>
      <c r="AP19" s="267"/>
      <c r="AQ19" s="267"/>
      <c r="AR19" s="267"/>
      <c r="AS19" s="267"/>
      <c r="AT19" s="267"/>
      <c r="AU19" s="267"/>
      <c r="AV19" s="267"/>
      <c r="AW19" s="267"/>
      <c r="AX19" s="267"/>
      <c r="AY19" s="267"/>
      <c r="AZ19" s="267"/>
      <c r="BA19" s="267"/>
      <c r="BB19" s="267"/>
      <c r="BC19" s="267"/>
      <c r="BD19" s="267"/>
      <c r="BE19" s="267"/>
      <c r="BF19" s="267"/>
      <c r="BG19" s="267"/>
      <c r="BH19" s="267"/>
      <c r="BI19" s="267"/>
      <c r="BJ19" s="267"/>
      <c r="BK19" s="267"/>
      <c r="BL19" s="267"/>
      <c r="BM19" s="267"/>
      <c r="BN19" s="267"/>
      <c r="BO19" s="267"/>
      <c r="BP19" s="267"/>
      <c r="BQ19" s="267"/>
      <c r="BR19" s="267"/>
      <c r="BS19" s="267"/>
      <c r="BT19" s="267"/>
      <c r="BU19" s="267"/>
      <c r="BV19" s="267"/>
      <c r="BW19" s="267"/>
      <c r="BX19" s="267"/>
      <c r="BY19" s="267"/>
      <c r="BZ19" s="267"/>
      <c r="CA19" s="267"/>
      <c r="CB19" s="267"/>
      <c r="CC19" s="267"/>
      <c r="CD19" s="267"/>
      <c r="CE19" s="267"/>
      <c r="CF19" s="267"/>
      <c r="CG19" s="267"/>
      <c r="CH19" s="267"/>
      <c r="CI19" s="267"/>
      <c r="CJ19" s="267"/>
      <c r="CK19" s="267"/>
      <c r="CL19" s="267"/>
      <c r="CM19" s="267"/>
      <c r="CN19" s="267"/>
      <c r="CO19" s="267"/>
      <c r="CP19" s="267"/>
      <c r="CQ19" s="267"/>
      <c r="CR19" s="267"/>
      <c r="CS19" s="267"/>
      <c r="CT19" s="267"/>
      <c r="CU19" s="267"/>
      <c r="CV19" s="267"/>
      <c r="CW19" s="267"/>
      <c r="CX19" s="267"/>
      <c r="CY19" s="267"/>
      <c r="CZ19" s="267"/>
      <c r="DA19" s="267"/>
      <c r="DB19" s="267"/>
      <c r="DC19" s="267"/>
      <c r="DD19" s="267"/>
      <c r="DE19" s="267"/>
      <c r="DF19" s="267"/>
      <c r="DG19" s="267"/>
      <c r="DH19" s="267"/>
      <c r="DI19" s="267"/>
      <c r="DJ19" s="267"/>
      <c r="DK19" s="267"/>
      <c r="DL19" s="267"/>
      <c r="DM19" s="267"/>
      <c r="DN19" s="267"/>
      <c r="DO19" s="267"/>
      <c r="DP19" s="267"/>
      <c r="DQ19" s="267"/>
      <c r="DR19" s="267"/>
      <c r="DS19" s="267"/>
      <c r="DT19" s="267"/>
      <c r="DU19" s="267"/>
      <c r="DV19" s="267"/>
      <c r="DW19" s="267"/>
      <c r="DX19" s="267"/>
      <c r="DY19" s="267"/>
      <c r="DZ19" s="267"/>
      <c r="EA19" s="267"/>
      <c r="EB19" s="267"/>
      <c r="EC19" s="267"/>
      <c r="ED19" s="267"/>
      <c r="EE19" s="267"/>
      <c r="EF19" s="267"/>
      <c r="EG19" s="267"/>
      <c r="EH19" s="267"/>
      <c r="EI19" s="267"/>
      <c r="EJ19" s="267"/>
      <c r="EK19" s="267"/>
      <c r="EL19" s="267"/>
      <c r="EM19" s="267"/>
      <c r="EN19" s="267"/>
      <c r="EO19" s="267"/>
      <c r="EP19" s="267"/>
      <c r="EQ19" s="267"/>
      <c r="ER19" s="267"/>
      <c r="ES19" s="267"/>
      <c r="ET19" s="267"/>
      <c r="EU19" s="267"/>
      <c r="EV19" s="267"/>
      <c r="EW19" s="267"/>
      <c r="EX19" s="267"/>
      <c r="EY19" s="267"/>
      <c r="EZ19" s="267"/>
      <c r="FA19" s="267"/>
      <c r="FB19" s="267"/>
      <c r="FC19" s="267"/>
      <c r="FD19" s="267"/>
      <c r="FE19" s="267"/>
      <c r="FF19" s="267"/>
      <c r="FG19" s="267"/>
      <c r="FH19" s="267"/>
      <c r="FI19" s="267"/>
      <c r="FJ19" s="267"/>
      <c r="FK19" s="267"/>
      <c r="FL19" s="267"/>
      <c r="FM19" s="267"/>
      <c r="FN19" s="267"/>
      <c r="FO19" s="267"/>
      <c r="FP19" s="267"/>
      <c r="FQ19" s="267"/>
      <c r="FR19" s="267"/>
      <c r="FS19" s="267"/>
      <c r="FT19" s="267"/>
      <c r="FU19" s="267"/>
      <c r="FV19" s="267"/>
      <c r="FW19" s="267"/>
      <c r="FX19" s="267"/>
      <c r="FY19" s="267"/>
      <c r="FZ19" s="267"/>
      <c r="GA19" s="267"/>
      <c r="GB19" s="267"/>
      <c r="GC19" s="267"/>
      <c r="GD19" s="267"/>
      <c r="GE19" s="267"/>
      <c r="GF19" s="267"/>
      <c r="GG19" s="267"/>
      <c r="GH19" s="267"/>
      <c r="GI19" s="267"/>
      <c r="GJ19" s="267"/>
    </row>
    <row r="20" spans="2:192" s="3" customFormat="1" ht="16.2" thickBot="1">
      <c r="B20" s="210"/>
      <c r="C20" s="207"/>
      <c r="D20" s="198"/>
      <c r="F20" s="210"/>
      <c r="G20" s="197"/>
      <c r="H20" s="198"/>
      <c r="J20" s="399"/>
      <c r="K20" s="206">
        <f>+'Erfassung Daten'!E38/40/Lagerstätten!K16/10</f>
        <v>8.9168571428571433</v>
      </c>
      <c r="L20" s="249" t="s">
        <v>216</v>
      </c>
      <c r="N20" s="267"/>
      <c r="O20" s="267"/>
      <c r="P20" s="267"/>
      <c r="Q20" s="267"/>
      <c r="R20" s="267"/>
      <c r="S20" s="267"/>
      <c r="T20" s="267"/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7"/>
      <c r="BF20" s="267"/>
      <c r="BG20" s="267"/>
      <c r="BH20" s="267"/>
      <c r="BI20" s="267"/>
      <c r="BJ20" s="267"/>
      <c r="BK20" s="267"/>
      <c r="BL20" s="267"/>
      <c r="BM20" s="267"/>
      <c r="BN20" s="267"/>
      <c r="BO20" s="267"/>
      <c r="BP20" s="267"/>
      <c r="BQ20" s="267"/>
      <c r="BR20" s="267"/>
      <c r="BS20" s="267"/>
      <c r="BT20" s="267"/>
      <c r="BU20" s="267"/>
      <c r="BV20" s="267"/>
      <c r="BW20" s="267"/>
      <c r="BX20" s="267"/>
      <c r="BY20" s="267"/>
      <c r="BZ20" s="267"/>
      <c r="CA20" s="267"/>
      <c r="CB20" s="267"/>
      <c r="CC20" s="267"/>
      <c r="CD20" s="267"/>
      <c r="CE20" s="267"/>
      <c r="CF20" s="267"/>
      <c r="CG20" s="267"/>
      <c r="CH20" s="267"/>
      <c r="CI20" s="267"/>
      <c r="CJ20" s="267"/>
      <c r="CK20" s="267"/>
      <c r="CL20" s="267"/>
      <c r="CM20" s="267"/>
      <c r="CN20" s="267"/>
      <c r="CO20" s="267"/>
      <c r="CP20" s="267"/>
      <c r="CQ20" s="267"/>
      <c r="CR20" s="267"/>
      <c r="CS20" s="267"/>
      <c r="CT20" s="267"/>
      <c r="CU20" s="267"/>
      <c r="CV20" s="267"/>
      <c r="CW20" s="267"/>
      <c r="CX20" s="267"/>
      <c r="CY20" s="267"/>
      <c r="CZ20" s="267"/>
      <c r="DA20" s="267"/>
      <c r="DB20" s="267"/>
      <c r="DC20" s="267"/>
      <c r="DD20" s="267"/>
      <c r="DE20" s="267"/>
      <c r="DF20" s="267"/>
      <c r="DG20" s="267"/>
      <c r="DH20" s="267"/>
      <c r="DI20" s="267"/>
      <c r="DJ20" s="267"/>
      <c r="DK20" s="267"/>
      <c r="DL20" s="267"/>
      <c r="DM20" s="267"/>
      <c r="DN20" s="267"/>
      <c r="DO20" s="267"/>
      <c r="DP20" s="267"/>
      <c r="DQ20" s="267"/>
      <c r="DR20" s="267"/>
      <c r="DS20" s="267"/>
      <c r="DT20" s="267"/>
      <c r="DU20" s="267"/>
      <c r="DV20" s="267"/>
      <c r="DW20" s="267"/>
      <c r="DX20" s="267"/>
      <c r="DY20" s="267"/>
      <c r="DZ20" s="267"/>
      <c r="EA20" s="267"/>
      <c r="EB20" s="267"/>
      <c r="EC20" s="267"/>
      <c r="ED20" s="267"/>
      <c r="EE20" s="267"/>
      <c r="EF20" s="267"/>
      <c r="EG20" s="267"/>
      <c r="EH20" s="267"/>
      <c r="EI20" s="267"/>
      <c r="EJ20" s="267"/>
      <c r="EK20" s="267"/>
      <c r="EL20" s="267"/>
      <c r="EM20" s="267"/>
      <c r="EN20" s="267"/>
      <c r="EO20" s="267"/>
      <c r="EP20" s="267"/>
      <c r="EQ20" s="267"/>
      <c r="ER20" s="267"/>
      <c r="ES20" s="267"/>
      <c r="ET20" s="267"/>
      <c r="EU20" s="267"/>
      <c r="EV20" s="267"/>
      <c r="EW20" s="267"/>
      <c r="EX20" s="267"/>
      <c r="EY20" s="267"/>
      <c r="EZ20" s="267"/>
      <c r="FA20" s="267"/>
      <c r="FB20" s="267"/>
      <c r="FC20" s="267"/>
      <c r="FD20" s="267"/>
      <c r="FE20" s="267"/>
      <c r="FF20" s="267"/>
      <c r="FG20" s="267"/>
      <c r="FH20" s="267"/>
      <c r="FI20" s="267"/>
      <c r="FJ20" s="267"/>
      <c r="FK20" s="267"/>
      <c r="FL20" s="267"/>
      <c r="FM20" s="267"/>
      <c r="FN20" s="267"/>
      <c r="FO20" s="267"/>
      <c r="FP20" s="267"/>
      <c r="FQ20" s="267"/>
      <c r="FR20" s="267"/>
      <c r="FS20" s="267"/>
      <c r="FT20" s="267"/>
      <c r="FU20" s="267"/>
      <c r="FV20" s="267"/>
      <c r="FW20" s="267"/>
      <c r="FX20" s="267"/>
      <c r="FY20" s="267"/>
      <c r="FZ20" s="267"/>
      <c r="GA20" s="267"/>
      <c r="GB20" s="267"/>
      <c r="GC20" s="267"/>
      <c r="GD20" s="267"/>
      <c r="GE20" s="267"/>
      <c r="GF20" s="267"/>
      <c r="GG20" s="267"/>
      <c r="GH20" s="267"/>
      <c r="GI20" s="267"/>
      <c r="GJ20" s="267"/>
    </row>
    <row r="21" spans="2:192" s="3" customFormat="1" ht="16.2" thickBot="1">
      <c r="B21" s="199" t="s">
        <v>391</v>
      </c>
      <c r="C21" s="197"/>
      <c r="D21" s="198"/>
      <c r="F21" s="199" t="s">
        <v>196</v>
      </c>
      <c r="G21" s="197"/>
      <c r="H21" s="198"/>
      <c r="J21" s="399" t="s">
        <v>224</v>
      </c>
      <c r="K21" s="205">
        <f>K19*K16/100*1000</f>
        <v>1847.5</v>
      </c>
      <c r="L21" s="249" t="s">
        <v>217</v>
      </c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7"/>
      <c r="BF21" s="267"/>
      <c r="BG21" s="267"/>
      <c r="BH21" s="267"/>
      <c r="BI21" s="267"/>
      <c r="BJ21" s="267"/>
      <c r="BK21" s="267"/>
      <c r="BL21" s="267"/>
      <c r="BM21" s="267"/>
      <c r="BN21" s="267"/>
      <c r="BO21" s="267"/>
      <c r="BP21" s="267"/>
      <c r="BQ21" s="267"/>
      <c r="BR21" s="267"/>
      <c r="BS21" s="267"/>
      <c r="BT21" s="267"/>
      <c r="BU21" s="267"/>
      <c r="BV21" s="267"/>
      <c r="BW21" s="267"/>
      <c r="BX21" s="267"/>
      <c r="BY21" s="267"/>
      <c r="BZ21" s="267"/>
      <c r="CA21" s="267"/>
      <c r="CB21" s="267"/>
      <c r="CC21" s="267"/>
      <c r="CD21" s="267"/>
      <c r="CE21" s="267"/>
      <c r="CF21" s="267"/>
      <c r="CG21" s="267"/>
      <c r="CH21" s="267"/>
      <c r="CI21" s="267"/>
      <c r="CJ21" s="267"/>
      <c r="CK21" s="267"/>
      <c r="CL21" s="267"/>
      <c r="CM21" s="267"/>
      <c r="CN21" s="267"/>
      <c r="CO21" s="267"/>
      <c r="CP21" s="267"/>
      <c r="CQ21" s="267"/>
      <c r="CR21" s="267"/>
      <c r="CS21" s="267"/>
      <c r="CT21" s="267"/>
      <c r="CU21" s="267"/>
      <c r="CV21" s="267"/>
      <c r="CW21" s="267"/>
      <c r="CX21" s="267"/>
      <c r="CY21" s="267"/>
      <c r="CZ21" s="267"/>
      <c r="DA21" s="267"/>
      <c r="DB21" s="267"/>
      <c r="DC21" s="267"/>
      <c r="DD21" s="267"/>
      <c r="DE21" s="267"/>
      <c r="DF21" s="267"/>
      <c r="DG21" s="267"/>
      <c r="DH21" s="267"/>
      <c r="DI21" s="267"/>
      <c r="DJ21" s="267"/>
      <c r="DK21" s="267"/>
      <c r="DL21" s="267"/>
      <c r="DM21" s="267"/>
      <c r="DN21" s="267"/>
      <c r="DO21" s="267"/>
      <c r="DP21" s="267"/>
      <c r="DQ21" s="267"/>
      <c r="DR21" s="267"/>
      <c r="DS21" s="267"/>
      <c r="DT21" s="267"/>
      <c r="DU21" s="267"/>
      <c r="DV21" s="267"/>
      <c r="DW21" s="267"/>
      <c r="DX21" s="267"/>
      <c r="DY21" s="267"/>
      <c r="DZ21" s="267"/>
      <c r="EA21" s="267"/>
      <c r="EB21" s="267"/>
      <c r="EC21" s="267"/>
      <c r="ED21" s="267"/>
      <c r="EE21" s="267"/>
      <c r="EF21" s="267"/>
      <c r="EG21" s="267"/>
      <c r="EH21" s="267"/>
      <c r="EI21" s="267"/>
      <c r="EJ21" s="267"/>
      <c r="EK21" s="267"/>
      <c r="EL21" s="267"/>
      <c r="EM21" s="267"/>
      <c r="EN21" s="267"/>
      <c r="EO21" s="267"/>
      <c r="EP21" s="267"/>
      <c r="EQ21" s="267"/>
      <c r="ER21" s="267"/>
      <c r="ES21" s="267"/>
      <c r="ET21" s="267"/>
      <c r="EU21" s="267"/>
      <c r="EV21" s="267"/>
      <c r="EW21" s="267"/>
      <c r="EX21" s="267"/>
      <c r="EY21" s="267"/>
      <c r="EZ21" s="267"/>
      <c r="FA21" s="267"/>
      <c r="FB21" s="267"/>
      <c r="FC21" s="267"/>
      <c r="FD21" s="267"/>
      <c r="FE21" s="267"/>
      <c r="FF21" s="267"/>
      <c r="FG21" s="267"/>
      <c r="FH21" s="267"/>
      <c r="FI21" s="267"/>
      <c r="FJ21" s="267"/>
      <c r="FK21" s="267"/>
      <c r="FL21" s="267"/>
      <c r="FM21" s="267"/>
      <c r="FN21" s="267"/>
      <c r="FO21" s="267"/>
      <c r="FP21" s="267"/>
      <c r="FQ21" s="267"/>
      <c r="FR21" s="267"/>
      <c r="FS21" s="267"/>
      <c r="FT21" s="267"/>
      <c r="FU21" s="267"/>
      <c r="FV21" s="267"/>
      <c r="FW21" s="267"/>
      <c r="FX21" s="267"/>
      <c r="FY21" s="267"/>
      <c r="FZ21" s="267"/>
      <c r="GA21" s="267"/>
      <c r="GB21" s="267"/>
      <c r="GC21" s="267"/>
      <c r="GD21" s="267"/>
      <c r="GE21" s="267"/>
      <c r="GF21" s="267"/>
      <c r="GG21" s="267"/>
      <c r="GH21" s="267"/>
      <c r="GI21" s="267"/>
      <c r="GJ21" s="267"/>
    </row>
    <row r="22" spans="2:192" s="3" customFormat="1" ht="16.2" thickBot="1">
      <c r="J22" s="399"/>
      <c r="K22" s="205">
        <f>K20*K16/100*1000</f>
        <v>3120.9</v>
      </c>
      <c r="L22" s="249" t="s">
        <v>218</v>
      </c>
      <c r="N22" s="267"/>
      <c r="O22" s="267"/>
      <c r="P22" s="267"/>
      <c r="Q22" s="267"/>
      <c r="R22" s="267"/>
      <c r="S22" s="267"/>
      <c r="T22" s="267"/>
      <c r="U22" s="267"/>
      <c r="V22" s="267"/>
      <c r="W22" s="267"/>
      <c r="X22" s="267"/>
      <c r="Y22" s="267"/>
      <c r="Z22" s="267"/>
      <c r="AA22" s="267"/>
      <c r="AB22" s="267"/>
      <c r="AC22" s="267"/>
      <c r="AD22" s="267"/>
      <c r="AE22" s="267"/>
      <c r="AF22" s="267"/>
      <c r="AG22" s="267"/>
      <c r="AH22" s="267"/>
      <c r="AI22" s="267"/>
      <c r="AJ22" s="267"/>
      <c r="AK22" s="267"/>
      <c r="AL22" s="267"/>
      <c r="AM22" s="267"/>
      <c r="AN22" s="267"/>
      <c r="AO22" s="267"/>
      <c r="AP22" s="267"/>
      <c r="AQ22" s="267"/>
      <c r="AR22" s="267"/>
      <c r="AS22" s="267"/>
      <c r="AT22" s="267"/>
      <c r="AU22" s="267"/>
      <c r="AV22" s="267"/>
      <c r="AW22" s="267"/>
      <c r="AX22" s="267"/>
      <c r="AY22" s="267"/>
      <c r="AZ22" s="267"/>
      <c r="BA22" s="267"/>
      <c r="BB22" s="267"/>
      <c r="BC22" s="267"/>
      <c r="BD22" s="267"/>
      <c r="BE22" s="267"/>
      <c r="BF22" s="267"/>
      <c r="BG22" s="267"/>
      <c r="BH22" s="267"/>
      <c r="BI22" s="267"/>
      <c r="BJ22" s="267"/>
      <c r="BK22" s="267"/>
      <c r="BL22" s="267"/>
      <c r="BM22" s="267"/>
      <c r="BN22" s="267"/>
      <c r="BO22" s="267"/>
      <c r="BP22" s="267"/>
      <c r="BQ22" s="267"/>
      <c r="BR22" s="267"/>
      <c r="BS22" s="267"/>
      <c r="BT22" s="267"/>
      <c r="BU22" s="267"/>
      <c r="BV22" s="267"/>
      <c r="BW22" s="267"/>
      <c r="BX22" s="267"/>
      <c r="BY22" s="267"/>
      <c r="BZ22" s="267"/>
      <c r="CA22" s="267"/>
      <c r="CB22" s="267"/>
      <c r="CC22" s="267"/>
      <c r="CD22" s="267"/>
      <c r="CE22" s="267"/>
      <c r="CF22" s="267"/>
      <c r="CG22" s="267"/>
      <c r="CH22" s="267"/>
      <c r="CI22" s="267"/>
      <c r="CJ22" s="267"/>
      <c r="CK22" s="267"/>
      <c r="CL22" s="267"/>
      <c r="CM22" s="267"/>
      <c r="CN22" s="267"/>
      <c r="CO22" s="267"/>
      <c r="CP22" s="267"/>
      <c r="CQ22" s="267"/>
      <c r="CR22" s="267"/>
      <c r="CS22" s="267"/>
      <c r="CT22" s="267"/>
      <c r="CU22" s="267"/>
      <c r="CV22" s="267"/>
      <c r="CW22" s="267"/>
      <c r="CX22" s="267"/>
      <c r="CY22" s="267"/>
      <c r="CZ22" s="267"/>
      <c r="DA22" s="267"/>
      <c r="DB22" s="267"/>
      <c r="DC22" s="267"/>
      <c r="DD22" s="267"/>
      <c r="DE22" s="267"/>
      <c r="DF22" s="267"/>
      <c r="DG22" s="267"/>
      <c r="DH22" s="267"/>
      <c r="DI22" s="267"/>
      <c r="DJ22" s="267"/>
      <c r="DK22" s="267"/>
      <c r="DL22" s="267"/>
      <c r="DM22" s="267"/>
      <c r="DN22" s="267"/>
      <c r="DO22" s="267"/>
      <c r="DP22" s="267"/>
      <c r="DQ22" s="267"/>
      <c r="DR22" s="267"/>
      <c r="DS22" s="267"/>
      <c r="DT22" s="267"/>
      <c r="DU22" s="267"/>
      <c r="DV22" s="267"/>
      <c r="DW22" s="267"/>
      <c r="DX22" s="267"/>
      <c r="DY22" s="267"/>
      <c r="DZ22" s="267"/>
      <c r="EA22" s="267"/>
      <c r="EB22" s="267"/>
      <c r="EC22" s="267"/>
      <c r="ED22" s="267"/>
      <c r="EE22" s="267"/>
      <c r="EF22" s="267"/>
      <c r="EG22" s="267"/>
      <c r="EH22" s="267"/>
      <c r="EI22" s="267"/>
      <c r="EJ22" s="267"/>
      <c r="EK22" s="267"/>
      <c r="EL22" s="267"/>
      <c r="EM22" s="267"/>
      <c r="EN22" s="267"/>
      <c r="EO22" s="267"/>
      <c r="EP22" s="267"/>
      <c r="EQ22" s="267"/>
      <c r="ER22" s="267"/>
      <c r="ES22" s="267"/>
      <c r="ET22" s="267"/>
      <c r="EU22" s="267"/>
      <c r="EV22" s="267"/>
      <c r="EW22" s="267"/>
      <c r="EX22" s="267"/>
      <c r="EY22" s="267"/>
      <c r="EZ22" s="267"/>
      <c r="FA22" s="267"/>
      <c r="FB22" s="267"/>
      <c r="FC22" s="267"/>
      <c r="FD22" s="267"/>
      <c r="FE22" s="267"/>
      <c r="FF22" s="267"/>
      <c r="FG22" s="267"/>
      <c r="FH22" s="267"/>
      <c r="FI22" s="267"/>
      <c r="FJ22" s="267"/>
      <c r="FK22" s="267"/>
      <c r="FL22" s="267"/>
      <c r="FM22" s="267"/>
      <c r="FN22" s="267"/>
      <c r="FO22" s="267"/>
      <c r="FP22" s="267"/>
      <c r="FQ22" s="267"/>
      <c r="FR22" s="267"/>
      <c r="FS22" s="267"/>
      <c r="FT22" s="267"/>
      <c r="FU22" s="267"/>
      <c r="FV22" s="267"/>
      <c r="FW22" s="267"/>
      <c r="FX22" s="267"/>
      <c r="FY22" s="267"/>
      <c r="FZ22" s="267"/>
      <c r="GA22" s="267"/>
      <c r="GB22" s="267"/>
      <c r="GC22" s="267"/>
      <c r="GD22" s="267"/>
      <c r="GE22" s="267"/>
      <c r="GF22" s="267"/>
      <c r="GG22" s="267"/>
      <c r="GH22" s="267"/>
      <c r="GI22" s="267"/>
      <c r="GJ22" s="267"/>
    </row>
    <row r="23" spans="2:192" s="3" customFormat="1" ht="16.2" thickBot="1">
      <c r="J23" s="227" t="s">
        <v>393</v>
      </c>
      <c r="K23" s="228"/>
      <c r="L23" s="229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67"/>
      <c r="AP23" s="267"/>
      <c r="AQ23" s="267"/>
      <c r="AR23" s="267"/>
      <c r="AS23" s="267"/>
      <c r="AT23" s="267"/>
      <c r="AU23" s="267"/>
      <c r="AV23" s="267"/>
      <c r="AW23" s="267"/>
      <c r="AX23" s="267"/>
      <c r="AY23" s="267"/>
      <c r="AZ23" s="267"/>
      <c r="BA23" s="267"/>
      <c r="BB23" s="267"/>
      <c r="BC23" s="267"/>
      <c r="BD23" s="267"/>
      <c r="BE23" s="267"/>
      <c r="BF23" s="267"/>
      <c r="BG23" s="267"/>
      <c r="BH23" s="267"/>
      <c r="BI23" s="267"/>
      <c r="BJ23" s="267"/>
      <c r="BK23" s="267"/>
      <c r="BL23" s="267"/>
      <c r="BM23" s="267"/>
      <c r="BN23" s="267"/>
      <c r="BO23" s="267"/>
      <c r="BP23" s="267"/>
      <c r="BQ23" s="267"/>
      <c r="BR23" s="267"/>
      <c r="BS23" s="267"/>
      <c r="BT23" s="267"/>
      <c r="BU23" s="267"/>
      <c r="BV23" s="267"/>
      <c r="BW23" s="267"/>
      <c r="BX23" s="267"/>
      <c r="BY23" s="267"/>
      <c r="BZ23" s="267"/>
      <c r="CA23" s="267"/>
      <c r="CB23" s="267"/>
      <c r="CC23" s="267"/>
      <c r="CD23" s="267"/>
      <c r="CE23" s="267"/>
      <c r="CF23" s="267"/>
      <c r="CG23" s="267"/>
      <c r="CH23" s="267"/>
      <c r="CI23" s="267"/>
      <c r="CJ23" s="267"/>
      <c r="CK23" s="267"/>
      <c r="CL23" s="267"/>
      <c r="CM23" s="267"/>
      <c r="CN23" s="267"/>
      <c r="CO23" s="267"/>
      <c r="CP23" s="267"/>
      <c r="CQ23" s="267"/>
      <c r="CR23" s="267"/>
      <c r="CS23" s="267"/>
      <c r="CT23" s="267"/>
      <c r="CU23" s="267"/>
      <c r="CV23" s="267"/>
      <c r="CW23" s="267"/>
      <c r="CX23" s="267"/>
      <c r="CY23" s="267"/>
      <c r="CZ23" s="267"/>
      <c r="DA23" s="267"/>
      <c r="DB23" s="267"/>
      <c r="DC23" s="267"/>
      <c r="DD23" s="267"/>
      <c r="DE23" s="267"/>
      <c r="DF23" s="267"/>
      <c r="DG23" s="267"/>
      <c r="DH23" s="267"/>
      <c r="DI23" s="267"/>
      <c r="DJ23" s="267"/>
      <c r="DK23" s="267"/>
      <c r="DL23" s="267"/>
      <c r="DM23" s="267"/>
      <c r="DN23" s="267"/>
      <c r="DO23" s="267"/>
      <c r="DP23" s="267"/>
      <c r="DQ23" s="267"/>
      <c r="DR23" s="267"/>
      <c r="DS23" s="267"/>
      <c r="DT23" s="267"/>
      <c r="DU23" s="267"/>
      <c r="DV23" s="267"/>
      <c r="DW23" s="267"/>
      <c r="DX23" s="267"/>
      <c r="DY23" s="267"/>
      <c r="DZ23" s="267"/>
      <c r="EA23" s="267"/>
      <c r="EB23" s="267"/>
      <c r="EC23" s="267"/>
      <c r="ED23" s="267"/>
      <c r="EE23" s="267"/>
      <c r="EF23" s="267"/>
      <c r="EG23" s="267"/>
      <c r="EH23" s="267"/>
      <c r="EI23" s="267"/>
      <c r="EJ23" s="267"/>
      <c r="EK23" s="267"/>
      <c r="EL23" s="267"/>
      <c r="EM23" s="267"/>
      <c r="EN23" s="267"/>
      <c r="EO23" s="267"/>
      <c r="EP23" s="267"/>
      <c r="EQ23" s="267"/>
      <c r="ER23" s="267"/>
      <c r="ES23" s="267"/>
      <c r="ET23" s="267"/>
      <c r="EU23" s="267"/>
      <c r="EV23" s="267"/>
      <c r="EW23" s="267"/>
      <c r="EX23" s="267"/>
      <c r="EY23" s="267"/>
      <c r="EZ23" s="267"/>
      <c r="FA23" s="267"/>
      <c r="FB23" s="267"/>
      <c r="FC23" s="267"/>
      <c r="FD23" s="267"/>
      <c r="FE23" s="267"/>
      <c r="FF23" s="267"/>
      <c r="FG23" s="267"/>
      <c r="FH23" s="267"/>
      <c r="FI23" s="267"/>
      <c r="FJ23" s="267"/>
      <c r="FK23" s="267"/>
      <c r="FL23" s="267"/>
      <c r="FM23" s="267"/>
      <c r="FN23" s="267"/>
      <c r="FO23" s="267"/>
      <c r="FP23" s="267"/>
      <c r="FQ23" s="267"/>
      <c r="FR23" s="267"/>
      <c r="FS23" s="267"/>
      <c r="FT23" s="267"/>
      <c r="FU23" s="267"/>
      <c r="FV23" s="267"/>
      <c r="FW23" s="267"/>
      <c r="FX23" s="267"/>
      <c r="FY23" s="267"/>
      <c r="FZ23" s="267"/>
      <c r="GA23" s="267"/>
      <c r="GB23" s="267"/>
      <c r="GC23" s="267"/>
      <c r="GD23" s="267"/>
      <c r="GE23" s="267"/>
      <c r="GF23" s="267"/>
      <c r="GG23" s="267"/>
      <c r="GH23" s="267"/>
      <c r="GI23" s="267"/>
      <c r="GJ23" s="267"/>
    </row>
    <row r="24" spans="2:192" s="3" customFormat="1">
      <c r="C24" s="191"/>
      <c r="N24" s="267"/>
      <c r="O24" s="267"/>
      <c r="P24" s="267"/>
      <c r="Q24" s="267"/>
      <c r="R24" s="267"/>
      <c r="S24" s="267"/>
      <c r="T24" s="267"/>
      <c r="U24" s="267"/>
      <c r="V24" s="267"/>
      <c r="W24" s="267"/>
      <c r="X24" s="267"/>
      <c r="Y24" s="267"/>
      <c r="Z24" s="267"/>
      <c r="AA24" s="267"/>
      <c r="AB24" s="267"/>
      <c r="AC24" s="267"/>
      <c r="AD24" s="267"/>
      <c r="AE24" s="267"/>
      <c r="AF24" s="267"/>
      <c r="AG24" s="267"/>
      <c r="AH24" s="267"/>
      <c r="AI24" s="267"/>
      <c r="AJ24" s="267"/>
      <c r="AK24" s="267"/>
      <c r="AL24" s="267"/>
      <c r="AM24" s="267"/>
      <c r="AN24" s="267"/>
      <c r="AO24" s="267"/>
      <c r="AP24" s="267"/>
      <c r="AQ24" s="267"/>
      <c r="AR24" s="267"/>
      <c r="AS24" s="267"/>
      <c r="AT24" s="267"/>
      <c r="AU24" s="267"/>
      <c r="AV24" s="267"/>
      <c r="AW24" s="267"/>
      <c r="AX24" s="267"/>
      <c r="AY24" s="267"/>
      <c r="AZ24" s="267"/>
      <c r="BA24" s="267"/>
      <c r="BB24" s="267"/>
      <c r="BC24" s="267"/>
      <c r="BD24" s="267"/>
      <c r="BE24" s="267"/>
      <c r="BF24" s="267"/>
      <c r="BG24" s="267"/>
      <c r="BH24" s="267"/>
      <c r="BI24" s="267"/>
      <c r="BJ24" s="267"/>
      <c r="BK24" s="267"/>
      <c r="BL24" s="267"/>
      <c r="BM24" s="267"/>
      <c r="BN24" s="267"/>
      <c r="BO24" s="267"/>
      <c r="BP24" s="267"/>
      <c r="BQ24" s="267"/>
      <c r="BR24" s="267"/>
      <c r="BS24" s="267"/>
      <c r="BT24" s="267"/>
      <c r="BU24" s="267"/>
      <c r="BV24" s="267"/>
      <c r="BW24" s="267"/>
      <c r="BX24" s="267"/>
      <c r="BY24" s="267"/>
      <c r="BZ24" s="267"/>
      <c r="CA24" s="267"/>
      <c r="CB24" s="267"/>
      <c r="CC24" s="267"/>
      <c r="CD24" s="267"/>
      <c r="CE24" s="267"/>
      <c r="CF24" s="267"/>
      <c r="CG24" s="267"/>
      <c r="CH24" s="267"/>
      <c r="CI24" s="267"/>
      <c r="CJ24" s="267"/>
      <c r="CK24" s="267"/>
      <c r="CL24" s="267"/>
      <c r="CM24" s="267"/>
      <c r="CN24" s="267"/>
      <c r="CO24" s="267"/>
      <c r="CP24" s="267"/>
      <c r="CQ24" s="267"/>
      <c r="CR24" s="267"/>
      <c r="CS24" s="267"/>
      <c r="CT24" s="267"/>
      <c r="CU24" s="267"/>
      <c r="CV24" s="267"/>
      <c r="CW24" s="267"/>
      <c r="CX24" s="267"/>
      <c r="CY24" s="267"/>
      <c r="CZ24" s="267"/>
      <c r="DA24" s="267"/>
      <c r="DB24" s="267"/>
      <c r="DC24" s="267"/>
      <c r="DD24" s="267"/>
      <c r="DE24" s="267"/>
      <c r="DF24" s="267"/>
      <c r="DG24" s="267"/>
      <c r="DH24" s="267"/>
      <c r="DI24" s="267"/>
      <c r="DJ24" s="267"/>
      <c r="DK24" s="267"/>
      <c r="DL24" s="267"/>
      <c r="DM24" s="267"/>
      <c r="DN24" s="267"/>
      <c r="DO24" s="267"/>
      <c r="DP24" s="267"/>
      <c r="DQ24" s="267"/>
      <c r="DR24" s="267"/>
      <c r="DS24" s="267"/>
      <c r="DT24" s="267"/>
      <c r="DU24" s="267"/>
      <c r="DV24" s="267"/>
      <c r="DW24" s="267"/>
      <c r="DX24" s="267"/>
      <c r="DY24" s="267"/>
      <c r="DZ24" s="267"/>
      <c r="EA24" s="267"/>
      <c r="EB24" s="267"/>
      <c r="EC24" s="267"/>
      <c r="ED24" s="267"/>
      <c r="EE24" s="267"/>
      <c r="EF24" s="267"/>
      <c r="EG24" s="267"/>
      <c r="EH24" s="267"/>
      <c r="EI24" s="267"/>
      <c r="EJ24" s="267"/>
      <c r="EK24" s="267"/>
      <c r="EL24" s="267"/>
      <c r="EM24" s="267"/>
      <c r="EN24" s="267"/>
      <c r="EO24" s="267"/>
      <c r="EP24" s="267"/>
      <c r="EQ24" s="267"/>
      <c r="ER24" s="267"/>
      <c r="ES24" s="267"/>
      <c r="ET24" s="267"/>
      <c r="EU24" s="267"/>
      <c r="EV24" s="267"/>
      <c r="EW24" s="267"/>
      <c r="EX24" s="267"/>
      <c r="EY24" s="267"/>
      <c r="EZ24" s="267"/>
      <c r="FA24" s="267"/>
      <c r="FB24" s="267"/>
      <c r="FC24" s="267"/>
      <c r="FD24" s="267"/>
      <c r="FE24" s="267"/>
      <c r="FF24" s="267"/>
      <c r="FG24" s="267"/>
      <c r="FH24" s="267"/>
      <c r="FI24" s="267"/>
      <c r="FJ24" s="267"/>
      <c r="FK24" s="267"/>
      <c r="FL24" s="267"/>
      <c r="FM24" s="267"/>
      <c r="FN24" s="267"/>
      <c r="FO24" s="267"/>
      <c r="FP24" s="267"/>
      <c r="FQ24" s="267"/>
      <c r="FR24" s="267"/>
      <c r="FS24" s="267"/>
      <c r="FT24" s="267"/>
      <c r="FU24" s="267"/>
      <c r="FV24" s="267"/>
      <c r="FW24" s="267"/>
      <c r="FX24" s="267"/>
      <c r="FY24" s="267"/>
      <c r="FZ24" s="267"/>
      <c r="GA24" s="267"/>
      <c r="GB24" s="267"/>
      <c r="GC24" s="267"/>
      <c r="GD24" s="267"/>
      <c r="GE24" s="267"/>
      <c r="GF24" s="267"/>
      <c r="GG24" s="267"/>
      <c r="GH24" s="267"/>
      <c r="GI24" s="267"/>
      <c r="GJ24" s="267"/>
    </row>
    <row r="25" spans="2:192" s="3" customFormat="1" ht="33" customHeight="1" thickBot="1">
      <c r="B25" s="392" t="s">
        <v>455</v>
      </c>
      <c r="C25" s="392"/>
      <c r="D25" s="392"/>
      <c r="E25" s="192"/>
      <c r="F25" s="392" t="s">
        <v>459</v>
      </c>
      <c r="G25" s="392"/>
      <c r="H25" s="392"/>
      <c r="I25" s="212"/>
      <c r="J25" s="392" t="s">
        <v>460</v>
      </c>
      <c r="K25" s="392"/>
      <c r="L25" s="392"/>
      <c r="M25" s="192"/>
      <c r="N25" s="267"/>
      <c r="O25" s="267"/>
      <c r="P25" s="267"/>
      <c r="Q25" s="267"/>
      <c r="R25" s="267"/>
      <c r="S25" s="267"/>
      <c r="T25" s="267"/>
      <c r="U25" s="267"/>
      <c r="V25" s="267"/>
      <c r="W25" s="267"/>
      <c r="X25" s="267"/>
      <c r="Y25" s="267"/>
      <c r="Z25" s="267"/>
      <c r="AA25" s="267"/>
      <c r="AB25" s="267"/>
      <c r="AC25" s="267"/>
      <c r="AD25" s="267"/>
      <c r="AE25" s="267"/>
      <c r="AF25" s="267"/>
      <c r="AG25" s="267"/>
      <c r="AH25" s="267"/>
      <c r="AI25" s="267"/>
      <c r="AJ25" s="267"/>
      <c r="AK25" s="267"/>
      <c r="AL25" s="267"/>
      <c r="AM25" s="267"/>
      <c r="AN25" s="267"/>
      <c r="AO25" s="267"/>
      <c r="AP25" s="267"/>
      <c r="AQ25" s="267"/>
      <c r="AR25" s="267"/>
      <c r="AS25" s="267"/>
      <c r="AT25" s="267"/>
      <c r="AU25" s="267"/>
      <c r="AV25" s="267"/>
      <c r="AW25" s="267"/>
      <c r="AX25" s="267"/>
      <c r="AY25" s="267"/>
      <c r="AZ25" s="267"/>
      <c r="BA25" s="267"/>
      <c r="BB25" s="267"/>
      <c r="BC25" s="267"/>
      <c r="BD25" s="267"/>
      <c r="BE25" s="267"/>
      <c r="BF25" s="267"/>
      <c r="BG25" s="267"/>
      <c r="BH25" s="267"/>
      <c r="BI25" s="267"/>
      <c r="BJ25" s="267"/>
      <c r="BK25" s="267"/>
      <c r="BL25" s="267"/>
      <c r="BM25" s="267"/>
      <c r="BN25" s="267"/>
      <c r="BO25" s="267"/>
      <c r="BP25" s="267"/>
      <c r="BQ25" s="267"/>
      <c r="BR25" s="267"/>
      <c r="BS25" s="267"/>
      <c r="BT25" s="267"/>
      <c r="BU25" s="267"/>
      <c r="BV25" s="267"/>
      <c r="BW25" s="267"/>
      <c r="BX25" s="267"/>
      <c r="BY25" s="267"/>
      <c r="BZ25" s="267"/>
      <c r="CA25" s="267"/>
      <c r="CB25" s="267"/>
      <c r="CC25" s="267"/>
      <c r="CD25" s="267"/>
      <c r="CE25" s="267"/>
      <c r="CF25" s="267"/>
      <c r="CG25" s="267"/>
      <c r="CH25" s="267"/>
      <c r="CI25" s="267"/>
      <c r="CJ25" s="267"/>
      <c r="CK25" s="267"/>
      <c r="CL25" s="267"/>
      <c r="CM25" s="267"/>
      <c r="CN25" s="267"/>
      <c r="CO25" s="267"/>
      <c r="CP25" s="267"/>
      <c r="CQ25" s="267"/>
      <c r="CR25" s="267"/>
      <c r="CS25" s="267"/>
      <c r="CT25" s="267"/>
      <c r="CU25" s="267"/>
      <c r="CV25" s="267"/>
      <c r="CW25" s="267"/>
      <c r="CX25" s="267"/>
      <c r="CY25" s="267"/>
      <c r="CZ25" s="267"/>
      <c r="DA25" s="267"/>
      <c r="DB25" s="267"/>
      <c r="DC25" s="267"/>
      <c r="DD25" s="267"/>
      <c r="DE25" s="267"/>
      <c r="DF25" s="267"/>
      <c r="DG25" s="267"/>
      <c r="DH25" s="267"/>
      <c r="DI25" s="267"/>
      <c r="DJ25" s="267"/>
      <c r="DK25" s="267"/>
      <c r="DL25" s="267"/>
      <c r="DM25" s="267"/>
      <c r="DN25" s="267"/>
      <c r="DO25" s="267"/>
      <c r="DP25" s="267"/>
      <c r="DQ25" s="267"/>
      <c r="DR25" s="267"/>
      <c r="DS25" s="267"/>
      <c r="DT25" s="267"/>
      <c r="DU25" s="267"/>
      <c r="DV25" s="267"/>
      <c r="DW25" s="267"/>
      <c r="DX25" s="267"/>
      <c r="DY25" s="267"/>
      <c r="DZ25" s="267"/>
      <c r="EA25" s="267"/>
      <c r="EB25" s="267"/>
      <c r="EC25" s="267"/>
      <c r="ED25" s="267"/>
      <c r="EE25" s="267"/>
      <c r="EF25" s="267"/>
      <c r="EG25" s="267"/>
      <c r="EH25" s="267"/>
      <c r="EI25" s="267"/>
      <c r="EJ25" s="267"/>
      <c r="EK25" s="267"/>
      <c r="EL25" s="267"/>
      <c r="EM25" s="267"/>
      <c r="EN25" s="267"/>
      <c r="EO25" s="267"/>
      <c r="EP25" s="267"/>
      <c r="EQ25" s="267"/>
      <c r="ER25" s="267"/>
      <c r="ES25" s="267"/>
      <c r="ET25" s="267"/>
      <c r="EU25" s="267"/>
      <c r="EV25" s="267"/>
      <c r="EW25" s="267"/>
      <c r="EX25" s="267"/>
      <c r="EY25" s="267"/>
      <c r="EZ25" s="267"/>
      <c r="FA25" s="267"/>
      <c r="FB25" s="267"/>
      <c r="FC25" s="267"/>
      <c r="FD25" s="267"/>
      <c r="FE25" s="267"/>
      <c r="FF25" s="267"/>
      <c r="FG25" s="267"/>
      <c r="FH25" s="267"/>
      <c r="FI25" s="267"/>
      <c r="FJ25" s="267"/>
      <c r="FK25" s="267"/>
      <c r="FL25" s="267"/>
      <c r="FM25" s="267"/>
      <c r="FN25" s="267"/>
      <c r="FO25" s="267"/>
      <c r="FP25" s="267"/>
      <c r="FQ25" s="267"/>
      <c r="FR25" s="267"/>
      <c r="FS25" s="267"/>
      <c r="FT25" s="267"/>
      <c r="FU25" s="267"/>
      <c r="FV25" s="267"/>
      <c r="FW25" s="267"/>
      <c r="FX25" s="267"/>
      <c r="FY25" s="267"/>
      <c r="FZ25" s="267"/>
      <c r="GA25" s="267"/>
      <c r="GB25" s="267"/>
      <c r="GC25" s="267"/>
      <c r="GD25" s="267"/>
      <c r="GE25" s="267"/>
      <c r="GF25" s="267"/>
      <c r="GG25" s="267"/>
      <c r="GH25" s="267"/>
      <c r="GI25" s="267"/>
      <c r="GJ25" s="267"/>
    </row>
    <row r="26" spans="2:192" s="3" customFormat="1">
      <c r="B26" s="202"/>
      <c r="C26" s="200"/>
      <c r="D26" s="201"/>
      <c r="E26" s="192"/>
      <c r="F26" s="208"/>
      <c r="G26" s="200"/>
      <c r="H26" s="201"/>
      <c r="I26" s="192"/>
      <c r="J26" s="208"/>
      <c r="K26" s="200"/>
      <c r="L26" s="201"/>
      <c r="M26" s="192"/>
      <c r="N26" s="267"/>
      <c r="O26" s="267"/>
      <c r="P26" s="267"/>
      <c r="Q26" s="267"/>
      <c r="R26" s="267"/>
      <c r="S26" s="267"/>
      <c r="T26" s="267"/>
      <c r="U26" s="267"/>
      <c r="V26" s="267"/>
      <c r="W26" s="267"/>
      <c r="X26" s="267"/>
      <c r="Y26" s="267"/>
      <c r="Z26" s="267"/>
      <c r="AA26" s="267"/>
      <c r="AB26" s="267"/>
      <c r="AC26" s="267"/>
      <c r="AD26" s="267"/>
      <c r="AE26" s="267"/>
      <c r="AF26" s="267"/>
      <c r="AG26" s="267"/>
      <c r="AH26" s="267"/>
      <c r="AI26" s="267"/>
      <c r="AJ26" s="267"/>
      <c r="AK26" s="267"/>
      <c r="AL26" s="267"/>
      <c r="AM26" s="267"/>
      <c r="AN26" s="267"/>
      <c r="AO26" s="267"/>
      <c r="AP26" s="267"/>
      <c r="AQ26" s="267"/>
      <c r="AR26" s="267"/>
      <c r="AS26" s="267"/>
      <c r="AT26" s="267"/>
      <c r="AU26" s="267"/>
      <c r="AV26" s="267"/>
      <c r="AW26" s="267"/>
      <c r="AX26" s="267"/>
      <c r="AY26" s="267"/>
      <c r="AZ26" s="267"/>
      <c r="BA26" s="267"/>
      <c r="BB26" s="267"/>
      <c r="BC26" s="267"/>
      <c r="BD26" s="267"/>
      <c r="BE26" s="267"/>
      <c r="BF26" s="267"/>
      <c r="BG26" s="267"/>
      <c r="BH26" s="267"/>
      <c r="BI26" s="267"/>
      <c r="BJ26" s="267"/>
      <c r="BK26" s="267"/>
      <c r="BL26" s="267"/>
      <c r="BM26" s="267"/>
      <c r="BN26" s="267"/>
      <c r="BO26" s="267"/>
      <c r="BP26" s="267"/>
      <c r="BQ26" s="267"/>
      <c r="BR26" s="267"/>
      <c r="BS26" s="267"/>
      <c r="BT26" s="267"/>
      <c r="BU26" s="267"/>
      <c r="BV26" s="267"/>
      <c r="BW26" s="267"/>
      <c r="BX26" s="267"/>
      <c r="BY26" s="267"/>
      <c r="BZ26" s="267"/>
      <c r="CA26" s="267"/>
      <c r="CB26" s="267"/>
      <c r="CC26" s="267"/>
      <c r="CD26" s="267"/>
      <c r="CE26" s="267"/>
      <c r="CF26" s="267"/>
      <c r="CG26" s="267"/>
      <c r="CH26" s="267"/>
      <c r="CI26" s="267"/>
      <c r="CJ26" s="267"/>
      <c r="CK26" s="267"/>
      <c r="CL26" s="267"/>
      <c r="CM26" s="267"/>
      <c r="CN26" s="267"/>
      <c r="CO26" s="267"/>
      <c r="CP26" s="267"/>
      <c r="CQ26" s="267"/>
      <c r="CR26" s="267"/>
      <c r="CS26" s="267"/>
      <c r="CT26" s="267"/>
      <c r="CU26" s="267"/>
      <c r="CV26" s="267"/>
      <c r="CW26" s="267"/>
      <c r="CX26" s="267"/>
      <c r="CY26" s="267"/>
      <c r="CZ26" s="267"/>
      <c r="DA26" s="267"/>
      <c r="DB26" s="267"/>
      <c r="DC26" s="267"/>
      <c r="DD26" s="267"/>
      <c r="DE26" s="267"/>
      <c r="DF26" s="267"/>
      <c r="DG26" s="267"/>
      <c r="DH26" s="267"/>
      <c r="DI26" s="267"/>
      <c r="DJ26" s="267"/>
      <c r="DK26" s="267"/>
      <c r="DL26" s="267"/>
      <c r="DM26" s="267"/>
      <c r="DN26" s="267"/>
      <c r="DO26" s="267"/>
      <c r="DP26" s="267"/>
      <c r="DQ26" s="267"/>
      <c r="DR26" s="267"/>
      <c r="DS26" s="267"/>
      <c r="DT26" s="267"/>
      <c r="DU26" s="267"/>
      <c r="DV26" s="267"/>
      <c r="DW26" s="267"/>
      <c r="DX26" s="267"/>
      <c r="DY26" s="267"/>
      <c r="DZ26" s="267"/>
      <c r="EA26" s="267"/>
      <c r="EB26" s="267"/>
      <c r="EC26" s="267"/>
      <c r="ED26" s="267"/>
      <c r="EE26" s="267"/>
      <c r="EF26" s="267"/>
      <c r="EG26" s="267"/>
      <c r="EH26" s="267"/>
      <c r="EI26" s="267"/>
      <c r="EJ26" s="267"/>
      <c r="EK26" s="267"/>
      <c r="EL26" s="267"/>
      <c r="EM26" s="267"/>
      <c r="EN26" s="267"/>
      <c r="EO26" s="267"/>
      <c r="EP26" s="267"/>
      <c r="EQ26" s="267"/>
      <c r="ER26" s="267"/>
      <c r="ES26" s="267"/>
      <c r="ET26" s="267"/>
      <c r="EU26" s="267"/>
      <c r="EV26" s="267"/>
      <c r="EW26" s="267"/>
      <c r="EX26" s="267"/>
      <c r="EY26" s="267"/>
      <c r="EZ26" s="267"/>
      <c r="FA26" s="267"/>
      <c r="FB26" s="267"/>
      <c r="FC26" s="267"/>
      <c r="FD26" s="267"/>
      <c r="FE26" s="267"/>
      <c r="FF26" s="267"/>
      <c r="FG26" s="267"/>
      <c r="FH26" s="267"/>
      <c r="FI26" s="267"/>
      <c r="FJ26" s="267"/>
      <c r="FK26" s="267"/>
      <c r="FL26" s="267"/>
      <c r="FM26" s="267"/>
      <c r="FN26" s="267"/>
      <c r="FO26" s="267"/>
      <c r="FP26" s="267"/>
      <c r="FQ26" s="267"/>
      <c r="FR26" s="267"/>
      <c r="FS26" s="267"/>
      <c r="FT26" s="267"/>
      <c r="FU26" s="267"/>
      <c r="FV26" s="267"/>
      <c r="FW26" s="267"/>
      <c r="FX26" s="267"/>
      <c r="FY26" s="267"/>
      <c r="FZ26" s="267"/>
      <c r="GA26" s="267"/>
      <c r="GB26" s="267"/>
      <c r="GC26" s="267"/>
      <c r="GD26" s="267"/>
      <c r="GE26" s="267"/>
      <c r="GF26" s="267"/>
      <c r="GG26" s="267"/>
      <c r="GH26" s="267"/>
      <c r="GI26" s="267"/>
      <c r="GJ26" s="267"/>
    </row>
    <row r="27" spans="2:192" s="3" customFormat="1">
      <c r="B27" s="203" t="s">
        <v>197</v>
      </c>
      <c r="C27" s="217">
        <v>9000</v>
      </c>
      <c r="D27" s="194" t="s">
        <v>198</v>
      </c>
      <c r="E27" s="192"/>
      <c r="F27" s="195" t="s">
        <v>201</v>
      </c>
      <c r="G27" s="204">
        <v>24</v>
      </c>
      <c r="H27" s="194" t="s">
        <v>106</v>
      </c>
      <c r="I27" s="192"/>
      <c r="J27" s="195" t="s">
        <v>199</v>
      </c>
      <c r="K27" s="213">
        <v>5</v>
      </c>
      <c r="L27" s="194" t="s">
        <v>106</v>
      </c>
      <c r="M27" s="192"/>
      <c r="N27" s="267"/>
      <c r="O27" s="267"/>
      <c r="P27" s="267"/>
      <c r="Q27" s="267"/>
      <c r="R27" s="267"/>
      <c r="S27" s="267"/>
      <c r="T27" s="267"/>
      <c r="U27" s="267"/>
      <c r="V27" s="267"/>
      <c r="W27" s="267"/>
      <c r="X27" s="267"/>
      <c r="Y27" s="267"/>
      <c r="Z27" s="267"/>
      <c r="AA27" s="267"/>
      <c r="AB27" s="267"/>
      <c r="AC27" s="267"/>
      <c r="AD27" s="267"/>
      <c r="AE27" s="267"/>
      <c r="AF27" s="267"/>
      <c r="AG27" s="267"/>
      <c r="AH27" s="267"/>
      <c r="AI27" s="267"/>
      <c r="AJ27" s="267"/>
      <c r="AK27" s="267"/>
      <c r="AL27" s="267"/>
      <c r="AM27" s="267"/>
      <c r="AN27" s="267"/>
      <c r="AO27" s="267"/>
      <c r="AP27" s="267"/>
      <c r="AQ27" s="267"/>
      <c r="AR27" s="267"/>
      <c r="AS27" s="267"/>
      <c r="AT27" s="267"/>
      <c r="AU27" s="267"/>
      <c r="AV27" s="267"/>
      <c r="AW27" s="267"/>
      <c r="AX27" s="267"/>
      <c r="AY27" s="267"/>
      <c r="AZ27" s="267"/>
      <c r="BA27" s="267"/>
      <c r="BB27" s="267"/>
      <c r="BC27" s="267"/>
      <c r="BD27" s="267"/>
      <c r="BE27" s="267"/>
      <c r="BF27" s="267"/>
      <c r="BG27" s="267"/>
      <c r="BH27" s="267"/>
      <c r="BI27" s="267"/>
      <c r="BJ27" s="267"/>
      <c r="BK27" s="267"/>
      <c r="BL27" s="267"/>
      <c r="BM27" s="267"/>
      <c r="BN27" s="267"/>
      <c r="BO27" s="267"/>
      <c r="BP27" s="267"/>
      <c r="BQ27" s="267"/>
      <c r="BR27" s="267"/>
      <c r="BS27" s="267"/>
      <c r="BT27" s="267"/>
      <c r="BU27" s="267"/>
      <c r="BV27" s="267"/>
      <c r="BW27" s="267"/>
      <c r="BX27" s="267"/>
      <c r="BY27" s="267"/>
      <c r="BZ27" s="267"/>
      <c r="CA27" s="267"/>
      <c r="CB27" s="267"/>
      <c r="CC27" s="267"/>
      <c r="CD27" s="267"/>
      <c r="CE27" s="267"/>
      <c r="CF27" s="267"/>
      <c r="CG27" s="267"/>
      <c r="CH27" s="267"/>
      <c r="CI27" s="267"/>
      <c r="CJ27" s="267"/>
      <c r="CK27" s="267"/>
      <c r="CL27" s="267"/>
      <c r="CM27" s="267"/>
      <c r="CN27" s="267"/>
      <c r="CO27" s="267"/>
      <c r="CP27" s="267"/>
      <c r="CQ27" s="267"/>
      <c r="CR27" s="267"/>
      <c r="CS27" s="267"/>
      <c r="CT27" s="267"/>
      <c r="CU27" s="267"/>
      <c r="CV27" s="267"/>
      <c r="CW27" s="267"/>
      <c r="CX27" s="267"/>
      <c r="CY27" s="267"/>
      <c r="CZ27" s="267"/>
      <c r="DA27" s="267"/>
      <c r="DB27" s="267"/>
      <c r="DC27" s="267"/>
      <c r="DD27" s="267"/>
      <c r="DE27" s="267"/>
      <c r="DF27" s="267"/>
      <c r="DG27" s="267"/>
      <c r="DH27" s="267"/>
      <c r="DI27" s="267"/>
      <c r="DJ27" s="267"/>
      <c r="DK27" s="267"/>
      <c r="DL27" s="267"/>
      <c r="DM27" s="267"/>
      <c r="DN27" s="267"/>
      <c r="DO27" s="267"/>
      <c r="DP27" s="267"/>
      <c r="DQ27" s="267"/>
      <c r="DR27" s="267"/>
      <c r="DS27" s="267"/>
      <c r="DT27" s="267"/>
      <c r="DU27" s="267"/>
      <c r="DV27" s="267"/>
      <c r="DW27" s="267"/>
      <c r="DX27" s="267"/>
      <c r="DY27" s="267"/>
      <c r="DZ27" s="267"/>
      <c r="EA27" s="267"/>
      <c r="EB27" s="267"/>
      <c r="EC27" s="267"/>
      <c r="ED27" s="267"/>
      <c r="EE27" s="267"/>
      <c r="EF27" s="267"/>
      <c r="EG27" s="267"/>
      <c r="EH27" s="267"/>
      <c r="EI27" s="267"/>
      <c r="EJ27" s="267"/>
      <c r="EK27" s="267"/>
      <c r="EL27" s="267"/>
      <c r="EM27" s="267"/>
      <c r="EN27" s="267"/>
      <c r="EO27" s="267"/>
      <c r="EP27" s="267"/>
      <c r="EQ27" s="267"/>
      <c r="ER27" s="267"/>
      <c r="ES27" s="267"/>
      <c r="ET27" s="267"/>
      <c r="EU27" s="267"/>
      <c r="EV27" s="267"/>
      <c r="EW27" s="267"/>
      <c r="EX27" s="267"/>
      <c r="EY27" s="267"/>
      <c r="EZ27" s="267"/>
      <c r="FA27" s="267"/>
      <c r="FB27" s="267"/>
      <c r="FC27" s="267"/>
      <c r="FD27" s="267"/>
      <c r="FE27" s="267"/>
      <c r="FF27" s="267"/>
      <c r="FG27" s="267"/>
      <c r="FH27" s="267"/>
      <c r="FI27" s="267"/>
      <c r="FJ27" s="267"/>
      <c r="FK27" s="267"/>
      <c r="FL27" s="267"/>
      <c r="FM27" s="267"/>
      <c r="FN27" s="267"/>
      <c r="FO27" s="267"/>
      <c r="FP27" s="267"/>
      <c r="FQ27" s="267"/>
      <c r="FR27" s="267"/>
      <c r="FS27" s="267"/>
      <c r="FT27" s="267"/>
      <c r="FU27" s="267"/>
      <c r="FV27" s="267"/>
      <c r="FW27" s="267"/>
      <c r="FX27" s="267"/>
      <c r="FY27" s="267"/>
      <c r="FZ27" s="267"/>
      <c r="GA27" s="267"/>
      <c r="GB27" s="267"/>
      <c r="GC27" s="267"/>
      <c r="GD27" s="267"/>
      <c r="GE27" s="267"/>
      <c r="GF27" s="267"/>
      <c r="GG27" s="267"/>
      <c r="GH27" s="267"/>
      <c r="GI27" s="267"/>
      <c r="GJ27" s="267"/>
    </row>
    <row r="28" spans="2:192" s="3" customFormat="1">
      <c r="B28" s="203" t="s">
        <v>200</v>
      </c>
      <c r="C28" s="217">
        <v>4000</v>
      </c>
      <c r="D28" s="194" t="s">
        <v>198</v>
      </c>
      <c r="E28" s="192"/>
      <c r="F28" s="195" t="s">
        <v>202</v>
      </c>
      <c r="G28" s="217">
        <v>15</v>
      </c>
      <c r="H28" s="194" t="s">
        <v>21</v>
      </c>
      <c r="I28" s="192"/>
      <c r="J28" s="195" t="s">
        <v>202</v>
      </c>
      <c r="K28" s="213">
        <v>20</v>
      </c>
      <c r="L28" s="194" t="s">
        <v>21</v>
      </c>
      <c r="M28" s="192"/>
      <c r="N28" s="267"/>
      <c r="O28" s="267"/>
      <c r="P28" s="267"/>
      <c r="Q28" s="267"/>
      <c r="R28" s="267"/>
      <c r="S28" s="267"/>
      <c r="T28" s="267"/>
      <c r="U28" s="267"/>
      <c r="V28" s="267"/>
      <c r="W28" s="267"/>
      <c r="X28" s="267"/>
      <c r="Y28" s="267"/>
      <c r="Z28" s="267"/>
      <c r="AA28" s="267"/>
      <c r="AB28" s="267"/>
      <c r="AC28" s="267"/>
      <c r="AD28" s="267"/>
      <c r="AE28" s="267"/>
      <c r="AF28" s="267"/>
      <c r="AG28" s="267"/>
      <c r="AH28" s="267"/>
      <c r="AI28" s="267"/>
      <c r="AJ28" s="267"/>
      <c r="AK28" s="267"/>
      <c r="AL28" s="267"/>
      <c r="AM28" s="267"/>
      <c r="AN28" s="267"/>
      <c r="AO28" s="267"/>
      <c r="AP28" s="267"/>
      <c r="AQ28" s="267"/>
      <c r="AR28" s="267"/>
      <c r="AS28" s="267"/>
      <c r="AT28" s="267"/>
      <c r="AU28" s="267"/>
      <c r="AV28" s="267"/>
      <c r="AW28" s="267"/>
      <c r="AX28" s="267"/>
      <c r="AY28" s="267"/>
      <c r="AZ28" s="267"/>
      <c r="BA28" s="267"/>
      <c r="BB28" s="267"/>
      <c r="BC28" s="267"/>
      <c r="BD28" s="267"/>
      <c r="BE28" s="267"/>
      <c r="BF28" s="267"/>
      <c r="BG28" s="267"/>
      <c r="BH28" s="267"/>
      <c r="BI28" s="267"/>
      <c r="BJ28" s="267"/>
      <c r="BK28" s="267"/>
      <c r="BL28" s="267"/>
      <c r="BM28" s="267"/>
      <c r="BN28" s="267"/>
      <c r="BO28" s="267"/>
      <c r="BP28" s="267"/>
      <c r="BQ28" s="267"/>
      <c r="BR28" s="267"/>
      <c r="BS28" s="267"/>
      <c r="BT28" s="267"/>
      <c r="BU28" s="267"/>
      <c r="BV28" s="267"/>
      <c r="BW28" s="267"/>
      <c r="BX28" s="267"/>
      <c r="BY28" s="267"/>
      <c r="BZ28" s="267"/>
      <c r="CA28" s="267"/>
      <c r="CB28" s="267"/>
      <c r="CC28" s="267"/>
      <c r="CD28" s="267"/>
      <c r="CE28" s="267"/>
      <c r="CF28" s="267"/>
      <c r="CG28" s="267"/>
      <c r="CH28" s="267"/>
      <c r="CI28" s="267"/>
      <c r="CJ28" s="267"/>
      <c r="CK28" s="267"/>
      <c r="CL28" s="267"/>
      <c r="CM28" s="267"/>
      <c r="CN28" s="267"/>
      <c r="CO28" s="267"/>
      <c r="CP28" s="267"/>
      <c r="CQ28" s="267"/>
      <c r="CR28" s="267"/>
      <c r="CS28" s="267"/>
      <c r="CT28" s="267"/>
      <c r="CU28" s="267"/>
      <c r="CV28" s="267"/>
      <c r="CW28" s="267"/>
      <c r="CX28" s="267"/>
      <c r="CY28" s="267"/>
      <c r="CZ28" s="267"/>
      <c r="DA28" s="267"/>
      <c r="DB28" s="267"/>
      <c r="DC28" s="267"/>
      <c r="DD28" s="267"/>
      <c r="DE28" s="267"/>
      <c r="DF28" s="267"/>
      <c r="DG28" s="267"/>
      <c r="DH28" s="267"/>
      <c r="DI28" s="267"/>
      <c r="DJ28" s="267"/>
      <c r="DK28" s="267"/>
      <c r="DL28" s="267"/>
      <c r="DM28" s="267"/>
      <c r="DN28" s="267"/>
      <c r="DO28" s="267"/>
      <c r="DP28" s="267"/>
      <c r="DQ28" s="267"/>
      <c r="DR28" s="267"/>
      <c r="DS28" s="267"/>
      <c r="DT28" s="267"/>
      <c r="DU28" s="267"/>
      <c r="DV28" s="267"/>
      <c r="DW28" s="267"/>
      <c r="DX28" s="267"/>
      <c r="DY28" s="267"/>
      <c r="DZ28" s="267"/>
      <c r="EA28" s="267"/>
      <c r="EB28" s="267"/>
      <c r="EC28" s="267"/>
      <c r="ED28" s="267"/>
      <c r="EE28" s="267"/>
      <c r="EF28" s="267"/>
      <c r="EG28" s="267"/>
      <c r="EH28" s="267"/>
      <c r="EI28" s="267"/>
      <c r="EJ28" s="267"/>
      <c r="EK28" s="267"/>
      <c r="EL28" s="267"/>
      <c r="EM28" s="267"/>
      <c r="EN28" s="267"/>
      <c r="EO28" s="267"/>
      <c r="EP28" s="267"/>
      <c r="EQ28" s="267"/>
      <c r="ER28" s="267"/>
      <c r="ES28" s="267"/>
      <c r="ET28" s="267"/>
      <c r="EU28" s="267"/>
      <c r="EV28" s="267"/>
      <c r="EW28" s="267"/>
      <c r="EX28" s="267"/>
      <c r="EY28" s="267"/>
      <c r="EZ28" s="267"/>
      <c r="FA28" s="267"/>
      <c r="FB28" s="267"/>
      <c r="FC28" s="267"/>
      <c r="FD28" s="267"/>
      <c r="FE28" s="267"/>
      <c r="FF28" s="267"/>
      <c r="FG28" s="267"/>
      <c r="FH28" s="267"/>
      <c r="FI28" s="267"/>
      <c r="FJ28" s="267"/>
      <c r="FK28" s="267"/>
      <c r="FL28" s="267"/>
      <c r="FM28" s="267"/>
      <c r="FN28" s="267"/>
      <c r="FO28" s="267"/>
      <c r="FP28" s="267"/>
      <c r="FQ28" s="267"/>
      <c r="FR28" s="267"/>
      <c r="FS28" s="267"/>
      <c r="FT28" s="267"/>
      <c r="FU28" s="267"/>
      <c r="FV28" s="267"/>
      <c r="FW28" s="267"/>
      <c r="FX28" s="267"/>
      <c r="FY28" s="267"/>
      <c r="FZ28" s="267"/>
      <c r="GA28" s="267"/>
      <c r="GB28" s="267"/>
      <c r="GC28" s="267"/>
      <c r="GD28" s="267"/>
      <c r="GE28" s="267"/>
      <c r="GF28" s="267"/>
      <c r="GG28" s="267"/>
      <c r="GH28" s="267"/>
      <c r="GI28" s="267"/>
      <c r="GJ28" s="267"/>
    </row>
    <row r="29" spans="2:192" s="3" customFormat="1">
      <c r="B29" s="203" t="s">
        <v>202</v>
      </c>
      <c r="C29" s="206">
        <f>2/3*100</f>
        <v>66.666666666666657</v>
      </c>
      <c r="D29" s="194" t="s">
        <v>21</v>
      </c>
      <c r="E29" s="192"/>
      <c r="F29" s="195" t="s">
        <v>203</v>
      </c>
      <c r="G29" s="204">
        <v>85</v>
      </c>
      <c r="H29" s="194" t="s">
        <v>21</v>
      </c>
      <c r="I29" s="192"/>
      <c r="J29" s="195" t="s">
        <v>203</v>
      </c>
      <c r="K29" s="193">
        <v>80</v>
      </c>
      <c r="L29" s="194" t="s">
        <v>21</v>
      </c>
      <c r="M29" s="192"/>
      <c r="N29" s="267"/>
      <c r="O29" s="267"/>
      <c r="P29" s="267"/>
      <c r="Q29" s="267"/>
      <c r="R29" s="267"/>
      <c r="S29" s="267"/>
      <c r="T29" s="267"/>
      <c r="U29" s="267"/>
      <c r="V29" s="267"/>
      <c r="W29" s="267"/>
      <c r="X29" s="267"/>
      <c r="Y29" s="267"/>
      <c r="Z29" s="267"/>
      <c r="AA29" s="267"/>
      <c r="AB29" s="267"/>
      <c r="AC29" s="267"/>
      <c r="AD29" s="267"/>
      <c r="AE29" s="267"/>
      <c r="AF29" s="267"/>
      <c r="AG29" s="267"/>
      <c r="AH29" s="267"/>
      <c r="AI29" s="267"/>
      <c r="AJ29" s="267"/>
      <c r="AK29" s="267"/>
      <c r="AL29" s="267"/>
      <c r="AM29" s="267"/>
      <c r="AN29" s="267"/>
      <c r="AO29" s="267"/>
      <c r="AP29" s="267"/>
      <c r="AQ29" s="267"/>
      <c r="AR29" s="267"/>
      <c r="AS29" s="267"/>
      <c r="AT29" s="267"/>
      <c r="AU29" s="267"/>
      <c r="AV29" s="267"/>
      <c r="AW29" s="267"/>
      <c r="AX29" s="267"/>
      <c r="AY29" s="267"/>
      <c r="AZ29" s="267"/>
      <c r="BA29" s="267"/>
      <c r="BB29" s="267"/>
      <c r="BC29" s="267"/>
      <c r="BD29" s="267"/>
      <c r="BE29" s="267"/>
      <c r="BF29" s="267"/>
      <c r="BG29" s="267"/>
      <c r="BH29" s="267"/>
      <c r="BI29" s="267"/>
      <c r="BJ29" s="267"/>
      <c r="BK29" s="267"/>
      <c r="BL29" s="267"/>
      <c r="BM29" s="267"/>
      <c r="BN29" s="267"/>
      <c r="BO29" s="267"/>
      <c r="BP29" s="267"/>
      <c r="BQ29" s="267"/>
      <c r="BR29" s="267"/>
      <c r="BS29" s="267"/>
      <c r="BT29" s="267"/>
      <c r="BU29" s="267"/>
      <c r="BV29" s="267"/>
      <c r="BW29" s="267"/>
      <c r="BX29" s="267"/>
      <c r="BY29" s="267"/>
      <c r="BZ29" s="267"/>
      <c r="CA29" s="267"/>
      <c r="CB29" s="267"/>
      <c r="CC29" s="267"/>
      <c r="CD29" s="267"/>
      <c r="CE29" s="267"/>
      <c r="CF29" s="267"/>
      <c r="CG29" s="267"/>
      <c r="CH29" s="267"/>
      <c r="CI29" s="267"/>
      <c r="CJ29" s="267"/>
      <c r="CK29" s="267"/>
      <c r="CL29" s="267"/>
      <c r="CM29" s="267"/>
      <c r="CN29" s="267"/>
      <c r="CO29" s="267"/>
      <c r="CP29" s="267"/>
      <c r="CQ29" s="267"/>
      <c r="CR29" s="267"/>
      <c r="CS29" s="267"/>
      <c r="CT29" s="267"/>
      <c r="CU29" s="267"/>
      <c r="CV29" s="267"/>
      <c r="CW29" s="267"/>
      <c r="CX29" s="267"/>
      <c r="CY29" s="267"/>
      <c r="CZ29" s="267"/>
      <c r="DA29" s="267"/>
      <c r="DB29" s="267"/>
      <c r="DC29" s="267"/>
      <c r="DD29" s="267"/>
      <c r="DE29" s="267"/>
      <c r="DF29" s="267"/>
      <c r="DG29" s="267"/>
      <c r="DH29" s="267"/>
      <c r="DI29" s="267"/>
      <c r="DJ29" s="267"/>
      <c r="DK29" s="267"/>
      <c r="DL29" s="267"/>
      <c r="DM29" s="267"/>
      <c r="DN29" s="267"/>
      <c r="DO29" s="267"/>
      <c r="DP29" s="267"/>
      <c r="DQ29" s="267"/>
      <c r="DR29" s="267"/>
      <c r="DS29" s="267"/>
      <c r="DT29" s="267"/>
      <c r="DU29" s="267"/>
      <c r="DV29" s="267"/>
      <c r="DW29" s="267"/>
      <c r="DX29" s="267"/>
      <c r="DY29" s="267"/>
      <c r="DZ29" s="267"/>
      <c r="EA29" s="267"/>
      <c r="EB29" s="267"/>
      <c r="EC29" s="267"/>
      <c r="ED29" s="267"/>
      <c r="EE29" s="267"/>
      <c r="EF29" s="267"/>
      <c r="EG29" s="267"/>
      <c r="EH29" s="267"/>
      <c r="EI29" s="267"/>
      <c r="EJ29" s="267"/>
      <c r="EK29" s="267"/>
      <c r="EL29" s="267"/>
      <c r="EM29" s="267"/>
      <c r="EN29" s="267"/>
      <c r="EO29" s="267"/>
      <c r="EP29" s="267"/>
      <c r="EQ29" s="267"/>
      <c r="ER29" s="267"/>
      <c r="ES29" s="267"/>
      <c r="ET29" s="267"/>
      <c r="EU29" s="267"/>
      <c r="EV29" s="267"/>
      <c r="EW29" s="267"/>
      <c r="EX29" s="267"/>
      <c r="EY29" s="267"/>
      <c r="EZ29" s="267"/>
      <c r="FA29" s="267"/>
      <c r="FB29" s="267"/>
      <c r="FC29" s="267"/>
      <c r="FD29" s="267"/>
      <c r="FE29" s="267"/>
      <c r="FF29" s="267"/>
      <c r="FG29" s="267"/>
      <c r="FH29" s="267"/>
      <c r="FI29" s="267"/>
      <c r="FJ29" s="267"/>
      <c r="FK29" s="267"/>
      <c r="FL29" s="267"/>
      <c r="FM29" s="267"/>
      <c r="FN29" s="267"/>
      <c r="FO29" s="267"/>
      <c r="FP29" s="267"/>
      <c r="FQ29" s="267"/>
      <c r="FR29" s="267"/>
      <c r="FS29" s="267"/>
      <c r="FT29" s="267"/>
      <c r="FU29" s="267"/>
      <c r="FV29" s="267"/>
      <c r="FW29" s="267"/>
      <c r="FX29" s="267"/>
      <c r="FY29" s="267"/>
      <c r="FZ29" s="267"/>
      <c r="GA29" s="267"/>
      <c r="GB29" s="267"/>
      <c r="GC29" s="267"/>
      <c r="GD29" s="267"/>
      <c r="GE29" s="267"/>
      <c r="GF29" s="267"/>
      <c r="GG29" s="267"/>
      <c r="GH29" s="267"/>
      <c r="GI29" s="267"/>
      <c r="GJ29" s="267"/>
    </row>
    <row r="30" spans="2:192" s="3" customFormat="1">
      <c r="B30" s="203" t="s">
        <v>203</v>
      </c>
      <c r="C30" s="206">
        <f>1/3*100</f>
        <v>33.333333333333329</v>
      </c>
      <c r="D30" s="194" t="s">
        <v>21</v>
      </c>
      <c r="E30" s="192"/>
      <c r="F30" s="195" t="s">
        <v>204</v>
      </c>
      <c r="G30" s="205">
        <f>'Erfassung Daten'!$L$11*$G$28/100/$K$12+'Erfassung Daten'!$L$11*$G$29/100/$K$22</f>
        <v>7.6923620160172588</v>
      </c>
      <c r="H30" s="194" t="s">
        <v>225</v>
      </c>
      <c r="I30" s="192"/>
      <c r="J30" s="195" t="s">
        <v>204</v>
      </c>
      <c r="K30" s="196">
        <f>('Erfassung Daten'!$L$14-6540)/12*K27*$K$28/100/$K$12+('Erfassung Daten'!$L$14-6540)/12*K27*$K$29/100/$K$22</f>
        <v>5.3991238822625824</v>
      </c>
      <c r="L30" s="194" t="s">
        <v>205</v>
      </c>
      <c r="M30" s="192"/>
      <c r="N30" s="267"/>
      <c r="O30" s="267"/>
      <c r="P30" s="267"/>
      <c r="Q30" s="267"/>
      <c r="R30" s="267"/>
      <c r="S30" s="267"/>
      <c r="T30" s="267"/>
      <c r="U30" s="267"/>
      <c r="V30" s="267"/>
      <c r="W30" s="267"/>
      <c r="X30" s="267"/>
      <c r="Y30" s="267"/>
      <c r="Z30" s="267"/>
      <c r="AA30" s="267"/>
      <c r="AB30" s="267"/>
      <c r="AC30" s="267"/>
      <c r="AD30" s="267"/>
      <c r="AE30" s="267"/>
      <c r="AF30" s="267"/>
      <c r="AG30" s="267"/>
      <c r="AH30" s="267"/>
      <c r="AI30" s="267"/>
      <c r="AJ30" s="267"/>
      <c r="AK30" s="267"/>
      <c r="AL30" s="267"/>
      <c r="AM30" s="267"/>
      <c r="AN30" s="267"/>
      <c r="AO30" s="267"/>
      <c r="AP30" s="267"/>
      <c r="AQ30" s="267"/>
      <c r="AR30" s="267"/>
      <c r="AS30" s="267"/>
      <c r="AT30" s="267"/>
      <c r="AU30" s="267"/>
      <c r="AV30" s="267"/>
      <c r="AW30" s="267"/>
      <c r="AX30" s="267"/>
      <c r="AY30" s="267"/>
      <c r="AZ30" s="267"/>
      <c r="BA30" s="267"/>
      <c r="BB30" s="267"/>
      <c r="BC30" s="267"/>
      <c r="BD30" s="267"/>
      <c r="BE30" s="267"/>
      <c r="BF30" s="267"/>
      <c r="BG30" s="267"/>
      <c r="BH30" s="267"/>
      <c r="BI30" s="267"/>
      <c r="BJ30" s="267"/>
      <c r="BK30" s="267"/>
      <c r="BL30" s="267"/>
      <c r="BM30" s="267"/>
      <c r="BN30" s="267"/>
      <c r="BO30" s="267"/>
      <c r="BP30" s="267"/>
      <c r="BQ30" s="267"/>
      <c r="BR30" s="267"/>
      <c r="BS30" s="267"/>
      <c r="BT30" s="267"/>
      <c r="BU30" s="267"/>
      <c r="BV30" s="267"/>
      <c r="BW30" s="267"/>
      <c r="BX30" s="267"/>
      <c r="BY30" s="267"/>
      <c r="BZ30" s="267"/>
      <c r="CA30" s="267"/>
      <c r="CB30" s="267"/>
      <c r="CC30" s="267"/>
      <c r="CD30" s="267"/>
      <c r="CE30" s="267"/>
      <c r="CF30" s="267"/>
      <c r="CG30" s="267"/>
      <c r="CH30" s="267"/>
      <c r="CI30" s="267"/>
      <c r="CJ30" s="267"/>
      <c r="CK30" s="267"/>
      <c r="CL30" s="267"/>
      <c r="CM30" s="267"/>
      <c r="CN30" s="267"/>
      <c r="CO30" s="267"/>
      <c r="CP30" s="267"/>
      <c r="CQ30" s="267"/>
      <c r="CR30" s="267"/>
      <c r="CS30" s="267"/>
      <c r="CT30" s="267"/>
      <c r="CU30" s="267"/>
      <c r="CV30" s="267"/>
      <c r="CW30" s="267"/>
      <c r="CX30" s="267"/>
      <c r="CY30" s="267"/>
      <c r="CZ30" s="267"/>
      <c r="DA30" s="267"/>
      <c r="DB30" s="267"/>
      <c r="DC30" s="267"/>
      <c r="DD30" s="267"/>
      <c r="DE30" s="267"/>
      <c r="DF30" s="267"/>
      <c r="DG30" s="267"/>
      <c r="DH30" s="267"/>
      <c r="DI30" s="267"/>
      <c r="DJ30" s="267"/>
      <c r="DK30" s="267"/>
      <c r="DL30" s="267"/>
      <c r="DM30" s="267"/>
      <c r="DN30" s="267"/>
      <c r="DO30" s="267"/>
      <c r="DP30" s="267"/>
      <c r="DQ30" s="267"/>
      <c r="DR30" s="267"/>
      <c r="DS30" s="267"/>
      <c r="DT30" s="267"/>
      <c r="DU30" s="267"/>
      <c r="DV30" s="267"/>
      <c r="DW30" s="267"/>
      <c r="DX30" s="267"/>
      <c r="DY30" s="267"/>
      <c r="DZ30" s="267"/>
      <c r="EA30" s="267"/>
      <c r="EB30" s="267"/>
      <c r="EC30" s="267"/>
      <c r="ED30" s="267"/>
      <c r="EE30" s="267"/>
      <c r="EF30" s="267"/>
      <c r="EG30" s="267"/>
      <c r="EH30" s="267"/>
      <c r="EI30" s="267"/>
      <c r="EJ30" s="267"/>
      <c r="EK30" s="267"/>
      <c r="EL30" s="267"/>
      <c r="EM30" s="267"/>
      <c r="EN30" s="267"/>
      <c r="EO30" s="267"/>
      <c r="EP30" s="267"/>
      <c r="EQ30" s="267"/>
      <c r="ER30" s="267"/>
      <c r="ES30" s="267"/>
      <c r="ET30" s="267"/>
      <c r="EU30" s="267"/>
      <c r="EV30" s="267"/>
      <c r="EW30" s="267"/>
      <c r="EX30" s="267"/>
      <c r="EY30" s="267"/>
      <c r="EZ30" s="267"/>
      <c r="FA30" s="267"/>
      <c r="FB30" s="267"/>
      <c r="FC30" s="267"/>
      <c r="FD30" s="267"/>
      <c r="FE30" s="267"/>
      <c r="FF30" s="267"/>
      <c r="FG30" s="267"/>
      <c r="FH30" s="267"/>
      <c r="FI30" s="267"/>
      <c r="FJ30" s="267"/>
      <c r="FK30" s="267"/>
      <c r="FL30" s="267"/>
      <c r="FM30" s="267"/>
      <c r="FN30" s="267"/>
      <c r="FO30" s="267"/>
      <c r="FP30" s="267"/>
      <c r="FQ30" s="267"/>
      <c r="FR30" s="267"/>
      <c r="FS30" s="267"/>
      <c r="FT30" s="267"/>
      <c r="FU30" s="267"/>
      <c r="FV30" s="267"/>
      <c r="FW30" s="267"/>
      <c r="FX30" s="267"/>
      <c r="FY30" s="267"/>
      <c r="FZ30" s="267"/>
      <c r="GA30" s="267"/>
      <c r="GB30" s="267"/>
      <c r="GC30" s="267"/>
      <c r="GD30" s="267"/>
      <c r="GE30" s="267"/>
      <c r="GF30" s="267"/>
      <c r="GG30" s="267"/>
      <c r="GH30" s="267"/>
      <c r="GI30" s="267"/>
      <c r="GJ30" s="267"/>
    </row>
    <row r="31" spans="2:192" s="3" customFormat="1">
      <c r="B31" s="203" t="s">
        <v>204</v>
      </c>
      <c r="C31" s="206">
        <f>'Erfassung Daten'!$L$6*$C$29/100/$K$11+'Erfassung Daten'!$L$6*$C$30/100/$K$21</f>
        <v>15.823426299591652</v>
      </c>
      <c r="D31" s="194" t="s">
        <v>205</v>
      </c>
      <c r="E31" s="192"/>
      <c r="F31" s="195" t="s">
        <v>204</v>
      </c>
      <c r="G31" s="411">
        <f>'Erfassung Daten'!$L$11*$G$28/100/$K$12*(100+$K$8)/100+'Erfassung Daten'!$L$11*$G$29/100/$K$22*(100+$K$18)/100</f>
        <v>8.4612305924284197</v>
      </c>
      <c r="H31" s="400" t="s">
        <v>225</v>
      </c>
      <c r="I31" s="192"/>
      <c r="J31" s="195" t="s">
        <v>204</v>
      </c>
      <c r="K31" s="404">
        <f>('Erfassung Daten'!$L$14-6540)/12*K27*$K$28/100/$K$12*(100+$K$8)/100+('Erfassung Daten'!$L$14-6540)/12*K27*$K$29/100/$K$22*(100+$K$18)/100</f>
        <v>5.9442732794124638</v>
      </c>
      <c r="L31" s="400" t="s">
        <v>205</v>
      </c>
      <c r="M31" s="192"/>
      <c r="N31" s="267"/>
      <c r="O31" s="267"/>
      <c r="P31" s="267"/>
      <c r="Q31" s="267"/>
      <c r="R31" s="267"/>
      <c r="S31" s="267"/>
      <c r="T31" s="267"/>
      <c r="U31" s="267"/>
      <c r="V31" s="267"/>
      <c r="W31" s="267"/>
      <c r="X31" s="267"/>
      <c r="Y31" s="267"/>
      <c r="Z31" s="267"/>
      <c r="AA31" s="267"/>
      <c r="AB31" s="267"/>
      <c r="AC31" s="267"/>
      <c r="AD31" s="267"/>
      <c r="AE31" s="267"/>
      <c r="AF31" s="267"/>
      <c r="AG31" s="267"/>
      <c r="AH31" s="267"/>
      <c r="AI31" s="267"/>
      <c r="AJ31" s="267"/>
      <c r="AK31" s="267"/>
      <c r="AL31" s="267"/>
      <c r="AM31" s="267"/>
      <c r="AN31" s="267"/>
      <c r="AO31" s="267"/>
      <c r="AP31" s="267"/>
      <c r="AQ31" s="267"/>
      <c r="AR31" s="267"/>
      <c r="AS31" s="267"/>
      <c r="AT31" s="267"/>
      <c r="AU31" s="267"/>
      <c r="AV31" s="267"/>
      <c r="AW31" s="267"/>
      <c r="AX31" s="267"/>
      <c r="AY31" s="267"/>
      <c r="AZ31" s="267"/>
      <c r="BA31" s="267"/>
      <c r="BB31" s="267"/>
      <c r="BC31" s="267"/>
      <c r="BD31" s="267"/>
      <c r="BE31" s="267"/>
      <c r="BF31" s="267"/>
      <c r="BG31" s="267"/>
      <c r="BH31" s="267"/>
      <c r="BI31" s="267"/>
      <c r="BJ31" s="267"/>
      <c r="BK31" s="267"/>
      <c r="BL31" s="267"/>
      <c r="BM31" s="267"/>
      <c r="BN31" s="267"/>
      <c r="BO31" s="267"/>
      <c r="BP31" s="267"/>
      <c r="BQ31" s="267"/>
      <c r="BR31" s="267"/>
      <c r="BS31" s="267"/>
      <c r="BT31" s="267"/>
      <c r="BU31" s="267"/>
      <c r="BV31" s="267"/>
      <c r="BW31" s="267"/>
      <c r="BX31" s="267"/>
      <c r="BY31" s="267"/>
      <c r="BZ31" s="267"/>
      <c r="CA31" s="267"/>
      <c r="CB31" s="267"/>
      <c r="CC31" s="267"/>
      <c r="CD31" s="267"/>
      <c r="CE31" s="267"/>
      <c r="CF31" s="267"/>
      <c r="CG31" s="267"/>
      <c r="CH31" s="267"/>
      <c r="CI31" s="267"/>
      <c r="CJ31" s="267"/>
      <c r="CK31" s="267"/>
      <c r="CL31" s="267"/>
      <c r="CM31" s="267"/>
      <c r="CN31" s="267"/>
      <c r="CO31" s="267"/>
      <c r="CP31" s="267"/>
      <c r="CQ31" s="267"/>
      <c r="CR31" s="267"/>
      <c r="CS31" s="267"/>
      <c r="CT31" s="267"/>
      <c r="CU31" s="267"/>
      <c r="CV31" s="267"/>
      <c r="CW31" s="267"/>
      <c r="CX31" s="267"/>
      <c r="CY31" s="267"/>
      <c r="CZ31" s="267"/>
      <c r="DA31" s="267"/>
      <c r="DB31" s="267"/>
      <c r="DC31" s="267"/>
      <c r="DD31" s="267"/>
      <c r="DE31" s="267"/>
      <c r="DF31" s="267"/>
      <c r="DG31" s="267"/>
      <c r="DH31" s="267"/>
      <c r="DI31" s="267"/>
      <c r="DJ31" s="267"/>
      <c r="DK31" s="267"/>
      <c r="DL31" s="267"/>
      <c r="DM31" s="267"/>
      <c r="DN31" s="267"/>
      <c r="DO31" s="267"/>
      <c r="DP31" s="267"/>
      <c r="DQ31" s="267"/>
      <c r="DR31" s="267"/>
      <c r="DS31" s="267"/>
      <c r="DT31" s="267"/>
      <c r="DU31" s="267"/>
      <c r="DV31" s="267"/>
      <c r="DW31" s="267"/>
      <c r="DX31" s="267"/>
      <c r="DY31" s="267"/>
      <c r="DZ31" s="267"/>
      <c r="EA31" s="267"/>
      <c r="EB31" s="267"/>
      <c r="EC31" s="267"/>
      <c r="ED31" s="267"/>
      <c r="EE31" s="267"/>
      <c r="EF31" s="267"/>
      <c r="EG31" s="267"/>
      <c r="EH31" s="267"/>
      <c r="EI31" s="267"/>
      <c r="EJ31" s="267"/>
      <c r="EK31" s="267"/>
      <c r="EL31" s="267"/>
      <c r="EM31" s="267"/>
      <c r="EN31" s="267"/>
      <c r="EO31" s="267"/>
      <c r="EP31" s="267"/>
      <c r="EQ31" s="267"/>
      <c r="ER31" s="267"/>
      <c r="ES31" s="267"/>
      <c r="ET31" s="267"/>
      <c r="EU31" s="267"/>
      <c r="EV31" s="267"/>
      <c r="EW31" s="267"/>
      <c r="EX31" s="267"/>
      <c r="EY31" s="267"/>
      <c r="EZ31" s="267"/>
      <c r="FA31" s="267"/>
      <c r="FB31" s="267"/>
      <c r="FC31" s="267"/>
      <c r="FD31" s="267"/>
      <c r="FE31" s="267"/>
      <c r="FF31" s="267"/>
      <c r="FG31" s="267"/>
      <c r="FH31" s="267"/>
      <c r="FI31" s="267"/>
      <c r="FJ31" s="267"/>
      <c r="FK31" s="267"/>
      <c r="FL31" s="267"/>
      <c r="FM31" s="267"/>
      <c r="FN31" s="267"/>
      <c r="FO31" s="267"/>
      <c r="FP31" s="267"/>
      <c r="FQ31" s="267"/>
      <c r="FR31" s="267"/>
      <c r="FS31" s="267"/>
      <c r="FT31" s="267"/>
      <c r="FU31" s="267"/>
      <c r="FV31" s="267"/>
      <c r="FW31" s="267"/>
      <c r="FX31" s="267"/>
      <c r="FY31" s="267"/>
      <c r="FZ31" s="267"/>
      <c r="GA31" s="267"/>
      <c r="GB31" s="267"/>
      <c r="GC31" s="267"/>
      <c r="GD31" s="267"/>
      <c r="GE31" s="267"/>
      <c r="GF31" s="267"/>
      <c r="GG31" s="267"/>
      <c r="GH31" s="267"/>
      <c r="GI31" s="267"/>
      <c r="GJ31" s="267"/>
    </row>
    <row r="32" spans="2:192" s="3" customFormat="1">
      <c r="B32" s="203" t="s">
        <v>204</v>
      </c>
      <c r="C32" s="407">
        <f>'Erfassung Daten'!$L$6*$C$29/100/$K$11*(100+$K$8)/100+'Erfassung Daten'!$L$6*$C$30/100/$K$21*(100+$K$18)/100</f>
        <v>17.584117942687442</v>
      </c>
      <c r="D32" s="400" t="s">
        <v>205</v>
      </c>
      <c r="E32" s="192"/>
      <c r="F32" s="195" t="s">
        <v>207</v>
      </c>
      <c r="G32" s="411"/>
      <c r="H32" s="400"/>
      <c r="I32" s="192"/>
      <c r="J32" s="195" t="s">
        <v>207</v>
      </c>
      <c r="K32" s="404"/>
      <c r="L32" s="400"/>
      <c r="M32" s="192"/>
      <c r="N32" s="267"/>
      <c r="O32" s="267"/>
      <c r="P32" s="267"/>
      <c r="Q32" s="267"/>
      <c r="R32" s="267"/>
      <c r="S32" s="267"/>
      <c r="T32" s="267"/>
      <c r="U32" s="267"/>
      <c r="V32" s="267"/>
      <c r="W32" s="267"/>
      <c r="X32" s="267"/>
      <c r="Y32" s="267"/>
      <c r="Z32" s="267"/>
      <c r="AA32" s="267"/>
      <c r="AB32" s="267"/>
      <c r="AC32" s="267"/>
      <c r="AD32" s="267"/>
      <c r="AE32" s="267"/>
      <c r="AF32" s="267"/>
      <c r="AG32" s="267"/>
      <c r="AH32" s="267"/>
      <c r="AI32" s="267"/>
      <c r="AJ32" s="267"/>
      <c r="AK32" s="267"/>
      <c r="AL32" s="267"/>
      <c r="AM32" s="267"/>
      <c r="AN32" s="267"/>
      <c r="AO32" s="267"/>
      <c r="AP32" s="267"/>
      <c r="AQ32" s="267"/>
      <c r="AR32" s="267"/>
      <c r="AS32" s="267"/>
      <c r="AT32" s="267"/>
      <c r="AU32" s="267"/>
      <c r="AV32" s="267"/>
      <c r="AW32" s="267"/>
      <c r="AX32" s="267"/>
      <c r="AY32" s="267"/>
      <c r="AZ32" s="267"/>
      <c r="BA32" s="267"/>
      <c r="BB32" s="267"/>
      <c r="BC32" s="267"/>
      <c r="BD32" s="267"/>
      <c r="BE32" s="267"/>
      <c r="BF32" s="267"/>
      <c r="BG32" s="267"/>
      <c r="BH32" s="267"/>
      <c r="BI32" s="267"/>
      <c r="BJ32" s="267"/>
      <c r="BK32" s="267"/>
      <c r="BL32" s="267"/>
      <c r="BM32" s="267"/>
      <c r="BN32" s="267"/>
      <c r="BO32" s="267"/>
      <c r="BP32" s="267"/>
      <c r="BQ32" s="267"/>
      <c r="BR32" s="267"/>
      <c r="BS32" s="267"/>
      <c r="BT32" s="267"/>
      <c r="BU32" s="267"/>
      <c r="BV32" s="267"/>
      <c r="BW32" s="267"/>
      <c r="BX32" s="267"/>
      <c r="BY32" s="267"/>
      <c r="BZ32" s="267"/>
      <c r="CA32" s="267"/>
      <c r="CB32" s="267"/>
      <c r="CC32" s="267"/>
      <c r="CD32" s="267"/>
      <c r="CE32" s="267"/>
      <c r="CF32" s="267"/>
      <c r="CG32" s="267"/>
      <c r="CH32" s="267"/>
      <c r="CI32" s="267"/>
      <c r="CJ32" s="267"/>
      <c r="CK32" s="267"/>
      <c r="CL32" s="267"/>
      <c r="CM32" s="267"/>
      <c r="CN32" s="267"/>
      <c r="CO32" s="267"/>
      <c r="CP32" s="267"/>
      <c r="CQ32" s="267"/>
      <c r="CR32" s="267"/>
      <c r="CS32" s="267"/>
      <c r="CT32" s="267"/>
      <c r="CU32" s="267"/>
      <c r="CV32" s="267"/>
      <c r="CW32" s="267"/>
      <c r="CX32" s="267"/>
      <c r="CY32" s="267"/>
      <c r="CZ32" s="267"/>
      <c r="DA32" s="267"/>
      <c r="DB32" s="267"/>
      <c r="DC32" s="267"/>
      <c r="DD32" s="267"/>
      <c r="DE32" s="267"/>
      <c r="DF32" s="267"/>
      <c r="DG32" s="267"/>
      <c r="DH32" s="267"/>
      <c r="DI32" s="267"/>
      <c r="DJ32" s="267"/>
      <c r="DK32" s="267"/>
      <c r="DL32" s="267"/>
      <c r="DM32" s="267"/>
      <c r="DN32" s="267"/>
      <c r="DO32" s="267"/>
      <c r="DP32" s="267"/>
      <c r="DQ32" s="267"/>
      <c r="DR32" s="267"/>
      <c r="DS32" s="267"/>
      <c r="DT32" s="267"/>
      <c r="DU32" s="267"/>
      <c r="DV32" s="267"/>
      <c r="DW32" s="267"/>
      <c r="DX32" s="267"/>
      <c r="DY32" s="267"/>
      <c r="DZ32" s="267"/>
      <c r="EA32" s="267"/>
      <c r="EB32" s="267"/>
      <c r="EC32" s="267"/>
      <c r="ED32" s="267"/>
      <c r="EE32" s="267"/>
      <c r="EF32" s="267"/>
      <c r="EG32" s="267"/>
      <c r="EH32" s="267"/>
      <c r="EI32" s="267"/>
      <c r="EJ32" s="267"/>
      <c r="EK32" s="267"/>
      <c r="EL32" s="267"/>
      <c r="EM32" s="267"/>
      <c r="EN32" s="267"/>
      <c r="EO32" s="267"/>
      <c r="EP32" s="267"/>
      <c r="EQ32" s="267"/>
      <c r="ER32" s="267"/>
      <c r="ES32" s="267"/>
      <c r="ET32" s="267"/>
      <c r="EU32" s="267"/>
      <c r="EV32" s="267"/>
      <c r="EW32" s="267"/>
      <c r="EX32" s="267"/>
      <c r="EY32" s="267"/>
      <c r="EZ32" s="267"/>
      <c r="FA32" s="267"/>
      <c r="FB32" s="267"/>
      <c r="FC32" s="267"/>
      <c r="FD32" s="267"/>
      <c r="FE32" s="267"/>
      <c r="FF32" s="267"/>
      <c r="FG32" s="267"/>
      <c r="FH32" s="267"/>
      <c r="FI32" s="267"/>
      <c r="FJ32" s="267"/>
      <c r="FK32" s="267"/>
      <c r="FL32" s="267"/>
      <c r="FM32" s="267"/>
      <c r="FN32" s="267"/>
      <c r="FO32" s="267"/>
      <c r="FP32" s="267"/>
      <c r="FQ32" s="267"/>
      <c r="FR32" s="267"/>
      <c r="FS32" s="267"/>
      <c r="FT32" s="267"/>
      <c r="FU32" s="267"/>
      <c r="FV32" s="267"/>
      <c r="FW32" s="267"/>
      <c r="FX32" s="267"/>
      <c r="FY32" s="267"/>
      <c r="FZ32" s="267"/>
      <c r="GA32" s="267"/>
      <c r="GB32" s="267"/>
      <c r="GC32" s="267"/>
      <c r="GD32" s="267"/>
      <c r="GE32" s="267"/>
      <c r="GF32" s="267"/>
      <c r="GG32" s="267"/>
      <c r="GH32" s="267"/>
      <c r="GI32" s="267"/>
      <c r="GJ32" s="267"/>
    </row>
    <row r="33" spans="2:192" s="3" customFormat="1">
      <c r="B33" s="203" t="s">
        <v>207</v>
      </c>
      <c r="C33" s="407"/>
      <c r="D33" s="400"/>
      <c r="E33" s="192"/>
      <c r="F33" s="240" t="s">
        <v>204</v>
      </c>
      <c r="G33" s="231">
        <f>'Erfassung Daten'!$L$11*$G$28/100/$K$12*(100+$K$8)/K7/100+'Erfassung Daten'!$L$11*$G$29/100/$K$22*(100+$K$18)/K17/100</f>
        <v>13.93449765299081</v>
      </c>
      <c r="H33" s="241" t="s">
        <v>226</v>
      </c>
      <c r="I33" s="192"/>
      <c r="J33" s="240" t="s">
        <v>204</v>
      </c>
      <c r="K33" s="254">
        <f>('Erfassung Daten'!$L$14-6540)/12*K27*$K$28/100/$K$12*(100+$K$8)/K7/100+('Erfassung Daten'!$L$14-6540)/12*K27*$K$29/100/$K$22*(100+$K$18)/100/K17</f>
        <v>9.7489765049571417</v>
      </c>
      <c r="L33" s="222" t="s">
        <v>208</v>
      </c>
      <c r="M33" s="192"/>
      <c r="N33" s="267"/>
      <c r="O33" s="267"/>
      <c r="P33" s="267"/>
      <c r="Q33" s="267"/>
      <c r="R33" s="267"/>
      <c r="S33" s="267"/>
      <c r="T33" s="267"/>
      <c r="U33" s="267"/>
      <c r="V33" s="267"/>
      <c r="W33" s="267"/>
      <c r="X33" s="267"/>
      <c r="Y33" s="267"/>
      <c r="Z33" s="267"/>
      <c r="AA33" s="267"/>
      <c r="AB33" s="267"/>
      <c r="AC33" s="267"/>
      <c r="AD33" s="267"/>
      <c r="AE33" s="267"/>
      <c r="AF33" s="267"/>
      <c r="AG33" s="267"/>
      <c r="AH33" s="267"/>
      <c r="AI33" s="267"/>
      <c r="AJ33" s="267"/>
      <c r="AK33" s="267"/>
      <c r="AL33" s="267"/>
      <c r="AM33" s="267"/>
      <c r="AN33" s="267"/>
      <c r="AO33" s="267"/>
      <c r="AP33" s="267"/>
      <c r="AQ33" s="267"/>
      <c r="AR33" s="267"/>
      <c r="AS33" s="267"/>
      <c r="AT33" s="267"/>
      <c r="AU33" s="267"/>
      <c r="AV33" s="267"/>
      <c r="AW33" s="267"/>
      <c r="AX33" s="267"/>
      <c r="AY33" s="267"/>
      <c r="AZ33" s="267"/>
      <c r="BA33" s="267"/>
      <c r="BB33" s="267"/>
      <c r="BC33" s="267"/>
      <c r="BD33" s="267"/>
      <c r="BE33" s="267"/>
      <c r="BF33" s="267"/>
      <c r="BG33" s="267"/>
      <c r="BH33" s="267"/>
      <c r="BI33" s="267"/>
      <c r="BJ33" s="267"/>
      <c r="BK33" s="267"/>
      <c r="BL33" s="267"/>
      <c r="BM33" s="267"/>
      <c r="BN33" s="267"/>
      <c r="BO33" s="267"/>
      <c r="BP33" s="267"/>
      <c r="BQ33" s="267"/>
      <c r="BR33" s="267"/>
      <c r="BS33" s="267"/>
      <c r="BT33" s="267"/>
      <c r="BU33" s="267"/>
      <c r="BV33" s="267"/>
      <c r="BW33" s="267"/>
      <c r="BX33" s="267"/>
      <c r="BY33" s="267"/>
      <c r="BZ33" s="267"/>
      <c r="CA33" s="267"/>
      <c r="CB33" s="267"/>
      <c r="CC33" s="267"/>
      <c r="CD33" s="267"/>
      <c r="CE33" s="267"/>
      <c r="CF33" s="267"/>
      <c r="CG33" s="267"/>
      <c r="CH33" s="267"/>
      <c r="CI33" s="267"/>
      <c r="CJ33" s="267"/>
      <c r="CK33" s="267"/>
      <c r="CL33" s="267"/>
      <c r="CM33" s="267"/>
      <c r="CN33" s="267"/>
      <c r="CO33" s="267"/>
      <c r="CP33" s="267"/>
      <c r="CQ33" s="267"/>
      <c r="CR33" s="267"/>
      <c r="CS33" s="267"/>
      <c r="CT33" s="267"/>
      <c r="CU33" s="267"/>
      <c r="CV33" s="267"/>
      <c r="CW33" s="267"/>
      <c r="CX33" s="267"/>
      <c r="CY33" s="267"/>
      <c r="CZ33" s="267"/>
      <c r="DA33" s="267"/>
      <c r="DB33" s="267"/>
      <c r="DC33" s="267"/>
      <c r="DD33" s="267"/>
      <c r="DE33" s="267"/>
      <c r="DF33" s="267"/>
      <c r="DG33" s="267"/>
      <c r="DH33" s="267"/>
      <c r="DI33" s="267"/>
      <c r="DJ33" s="267"/>
      <c r="DK33" s="267"/>
      <c r="DL33" s="267"/>
      <c r="DM33" s="267"/>
      <c r="DN33" s="267"/>
      <c r="DO33" s="267"/>
      <c r="DP33" s="267"/>
      <c r="DQ33" s="267"/>
      <c r="DR33" s="267"/>
      <c r="DS33" s="267"/>
      <c r="DT33" s="267"/>
      <c r="DU33" s="267"/>
      <c r="DV33" s="267"/>
      <c r="DW33" s="267"/>
      <c r="DX33" s="267"/>
      <c r="DY33" s="267"/>
      <c r="DZ33" s="267"/>
      <c r="EA33" s="267"/>
      <c r="EB33" s="267"/>
      <c r="EC33" s="267"/>
      <c r="ED33" s="267"/>
      <c r="EE33" s="267"/>
      <c r="EF33" s="267"/>
      <c r="EG33" s="267"/>
      <c r="EH33" s="267"/>
      <c r="EI33" s="267"/>
      <c r="EJ33" s="267"/>
      <c r="EK33" s="267"/>
      <c r="EL33" s="267"/>
      <c r="EM33" s="267"/>
      <c r="EN33" s="267"/>
      <c r="EO33" s="267"/>
      <c r="EP33" s="267"/>
      <c r="EQ33" s="267"/>
      <c r="ER33" s="267"/>
      <c r="ES33" s="267"/>
      <c r="ET33" s="267"/>
      <c r="EU33" s="267"/>
      <c r="EV33" s="267"/>
      <c r="EW33" s="267"/>
      <c r="EX33" s="267"/>
      <c r="EY33" s="267"/>
      <c r="EZ33" s="267"/>
      <c r="FA33" s="267"/>
      <c r="FB33" s="267"/>
      <c r="FC33" s="267"/>
      <c r="FD33" s="267"/>
      <c r="FE33" s="267"/>
      <c r="FF33" s="267"/>
      <c r="FG33" s="267"/>
      <c r="FH33" s="267"/>
      <c r="FI33" s="267"/>
      <c r="FJ33" s="267"/>
      <c r="FK33" s="267"/>
      <c r="FL33" s="267"/>
      <c r="FM33" s="267"/>
      <c r="FN33" s="267"/>
      <c r="FO33" s="267"/>
      <c r="FP33" s="267"/>
      <c r="FQ33" s="267"/>
      <c r="FR33" s="267"/>
      <c r="FS33" s="267"/>
      <c r="FT33" s="267"/>
      <c r="FU33" s="267"/>
      <c r="FV33" s="267"/>
      <c r="FW33" s="267"/>
      <c r="FX33" s="267"/>
      <c r="FY33" s="267"/>
      <c r="FZ33" s="267"/>
      <c r="GA33" s="267"/>
      <c r="GB33" s="267"/>
      <c r="GC33" s="267"/>
      <c r="GD33" s="267"/>
      <c r="GE33" s="267"/>
      <c r="GF33" s="267"/>
      <c r="GG33" s="267"/>
      <c r="GH33" s="267"/>
      <c r="GI33" s="267"/>
      <c r="GJ33" s="267"/>
    </row>
    <row r="34" spans="2:192" s="3" customFormat="1">
      <c r="B34" s="221" t="s">
        <v>204</v>
      </c>
      <c r="C34" s="220">
        <f>'Erfassung Daten'!$L$6*$C$29/100/$K$11*(100+$K$8)/K7/100+'Erfassung Daten'!$L$6*$C$30/100/$K$21*(100+$K$18)/100/K17</f>
        <v>27.640739344007095</v>
      </c>
      <c r="D34" s="222" t="s">
        <v>208</v>
      </c>
      <c r="E34" s="192"/>
      <c r="F34" s="195"/>
      <c r="H34" s="242"/>
      <c r="I34" s="192"/>
      <c r="J34" s="195"/>
      <c r="L34" s="242"/>
      <c r="M34" s="192"/>
      <c r="N34" s="267"/>
      <c r="O34" s="267"/>
      <c r="P34" s="267"/>
      <c r="Q34" s="267"/>
      <c r="R34" s="267"/>
      <c r="S34" s="267"/>
      <c r="T34" s="267"/>
      <c r="U34" s="267"/>
      <c r="V34" s="267"/>
      <c r="W34" s="267"/>
      <c r="X34" s="267"/>
      <c r="Y34" s="267"/>
      <c r="Z34" s="267"/>
      <c r="AA34" s="267"/>
      <c r="AB34" s="267"/>
      <c r="AC34" s="267"/>
      <c r="AD34" s="267"/>
      <c r="AE34" s="267"/>
      <c r="AF34" s="267"/>
      <c r="AG34" s="267"/>
      <c r="AH34" s="267"/>
      <c r="AI34" s="267"/>
      <c r="AJ34" s="267"/>
      <c r="AK34" s="267"/>
      <c r="AL34" s="267"/>
      <c r="AM34" s="267"/>
      <c r="AN34" s="267"/>
      <c r="AO34" s="267"/>
      <c r="AP34" s="267"/>
      <c r="AQ34" s="267"/>
      <c r="AR34" s="267"/>
      <c r="AS34" s="267"/>
      <c r="AT34" s="267"/>
      <c r="AU34" s="267"/>
      <c r="AV34" s="267"/>
      <c r="AW34" s="267"/>
      <c r="AX34" s="267"/>
      <c r="AY34" s="267"/>
      <c r="AZ34" s="267"/>
      <c r="BA34" s="267"/>
      <c r="BB34" s="267"/>
      <c r="BC34" s="267"/>
      <c r="BD34" s="267"/>
      <c r="BE34" s="267"/>
      <c r="BF34" s="267"/>
      <c r="BG34" s="267"/>
      <c r="BH34" s="267"/>
      <c r="BI34" s="267"/>
      <c r="BJ34" s="267"/>
      <c r="BK34" s="267"/>
      <c r="BL34" s="267"/>
      <c r="BM34" s="267"/>
      <c r="BN34" s="267"/>
      <c r="BO34" s="267"/>
      <c r="BP34" s="267"/>
      <c r="BQ34" s="267"/>
      <c r="BR34" s="267"/>
      <c r="BS34" s="267"/>
      <c r="BT34" s="267"/>
      <c r="BU34" s="267"/>
      <c r="BV34" s="267"/>
      <c r="BW34" s="267"/>
      <c r="BX34" s="267"/>
      <c r="BY34" s="267"/>
      <c r="BZ34" s="267"/>
      <c r="CA34" s="267"/>
      <c r="CB34" s="267"/>
      <c r="CC34" s="267"/>
      <c r="CD34" s="267"/>
      <c r="CE34" s="267"/>
      <c r="CF34" s="267"/>
      <c r="CG34" s="267"/>
      <c r="CH34" s="267"/>
      <c r="CI34" s="267"/>
      <c r="CJ34" s="267"/>
      <c r="CK34" s="267"/>
      <c r="CL34" s="267"/>
      <c r="CM34" s="267"/>
      <c r="CN34" s="267"/>
      <c r="CO34" s="267"/>
      <c r="CP34" s="267"/>
      <c r="CQ34" s="267"/>
      <c r="CR34" s="267"/>
      <c r="CS34" s="267"/>
      <c r="CT34" s="267"/>
      <c r="CU34" s="267"/>
      <c r="CV34" s="267"/>
      <c r="CW34" s="267"/>
      <c r="CX34" s="267"/>
      <c r="CY34" s="267"/>
      <c r="CZ34" s="267"/>
      <c r="DA34" s="267"/>
      <c r="DB34" s="267"/>
      <c r="DC34" s="267"/>
      <c r="DD34" s="267"/>
      <c r="DE34" s="267"/>
      <c r="DF34" s="267"/>
      <c r="DG34" s="267"/>
      <c r="DH34" s="267"/>
      <c r="DI34" s="267"/>
      <c r="DJ34" s="267"/>
      <c r="DK34" s="267"/>
      <c r="DL34" s="267"/>
      <c r="DM34" s="267"/>
      <c r="DN34" s="267"/>
      <c r="DO34" s="267"/>
      <c r="DP34" s="267"/>
      <c r="DQ34" s="267"/>
      <c r="DR34" s="267"/>
      <c r="DS34" s="267"/>
      <c r="DT34" s="267"/>
      <c r="DU34" s="267"/>
      <c r="DV34" s="267"/>
      <c r="DW34" s="267"/>
      <c r="DX34" s="267"/>
      <c r="DY34" s="267"/>
      <c r="DZ34" s="267"/>
      <c r="EA34" s="267"/>
      <c r="EB34" s="267"/>
      <c r="EC34" s="267"/>
      <c r="ED34" s="267"/>
      <c r="EE34" s="267"/>
      <c r="EF34" s="267"/>
      <c r="EG34" s="267"/>
      <c r="EH34" s="267"/>
      <c r="EI34" s="267"/>
      <c r="EJ34" s="267"/>
      <c r="EK34" s="267"/>
      <c r="EL34" s="267"/>
      <c r="EM34" s="267"/>
      <c r="EN34" s="267"/>
      <c r="EO34" s="267"/>
      <c r="EP34" s="267"/>
      <c r="EQ34" s="267"/>
      <c r="ER34" s="267"/>
      <c r="ES34" s="267"/>
      <c r="ET34" s="267"/>
      <c r="EU34" s="267"/>
      <c r="EV34" s="267"/>
      <c r="EW34" s="267"/>
      <c r="EX34" s="267"/>
      <c r="EY34" s="267"/>
      <c r="EZ34" s="267"/>
      <c r="FA34" s="267"/>
      <c r="FB34" s="267"/>
      <c r="FC34" s="267"/>
      <c r="FD34" s="267"/>
      <c r="FE34" s="267"/>
      <c r="FF34" s="267"/>
      <c r="FG34" s="267"/>
      <c r="FH34" s="267"/>
      <c r="FI34" s="267"/>
      <c r="FJ34" s="267"/>
      <c r="FK34" s="267"/>
      <c r="FL34" s="267"/>
      <c r="FM34" s="267"/>
      <c r="FN34" s="267"/>
      <c r="FO34" s="267"/>
      <c r="FP34" s="267"/>
      <c r="FQ34" s="267"/>
      <c r="FR34" s="267"/>
      <c r="FS34" s="267"/>
      <c r="FT34" s="267"/>
      <c r="FU34" s="267"/>
      <c r="FV34" s="267"/>
      <c r="FW34" s="267"/>
      <c r="FX34" s="267"/>
      <c r="FY34" s="267"/>
      <c r="FZ34" s="267"/>
      <c r="GA34" s="267"/>
      <c r="GB34" s="267"/>
      <c r="GC34" s="267"/>
      <c r="GD34" s="267"/>
      <c r="GE34" s="267"/>
      <c r="GF34" s="267"/>
      <c r="GG34" s="267"/>
      <c r="GH34" s="267"/>
      <c r="GI34" s="267"/>
      <c r="GJ34" s="267"/>
    </row>
    <row r="35" spans="2:192" s="3" customFormat="1" ht="30.6">
      <c r="B35" s="203"/>
      <c r="C35" s="235" t="s">
        <v>206</v>
      </c>
      <c r="D35" s="223" t="s">
        <v>456</v>
      </c>
      <c r="E35" s="192"/>
      <c r="F35" s="243"/>
      <c r="G35" s="235" t="s">
        <v>206</v>
      </c>
      <c r="H35" s="244" t="s">
        <v>458</v>
      </c>
      <c r="I35" s="393"/>
      <c r="J35" s="243"/>
      <c r="K35" s="252" t="s">
        <v>206</v>
      </c>
      <c r="L35" s="253" t="s">
        <v>462</v>
      </c>
      <c r="M35" s="393"/>
      <c r="N35" s="267"/>
      <c r="O35" s="267"/>
      <c r="P35" s="267"/>
      <c r="Q35" s="267"/>
      <c r="R35" s="267"/>
      <c r="S35" s="267"/>
      <c r="T35" s="267"/>
      <c r="U35" s="267"/>
      <c r="V35" s="267"/>
      <c r="W35" s="267"/>
      <c r="X35" s="267"/>
      <c r="Y35" s="267"/>
      <c r="Z35" s="267"/>
      <c r="AA35" s="267"/>
      <c r="AB35" s="267"/>
      <c r="AC35" s="267"/>
      <c r="AD35" s="267"/>
      <c r="AE35" s="267"/>
      <c r="AF35" s="267"/>
      <c r="AG35" s="267"/>
      <c r="AH35" s="267"/>
      <c r="AI35" s="267"/>
      <c r="AJ35" s="267"/>
      <c r="AK35" s="267"/>
      <c r="AL35" s="267"/>
      <c r="AM35" s="267"/>
      <c r="AN35" s="267"/>
      <c r="AO35" s="267"/>
      <c r="AP35" s="267"/>
      <c r="AQ35" s="267"/>
      <c r="AR35" s="267"/>
      <c r="AS35" s="267"/>
      <c r="AT35" s="267"/>
      <c r="AU35" s="267"/>
      <c r="AV35" s="267"/>
      <c r="AW35" s="267"/>
      <c r="AX35" s="267"/>
      <c r="AY35" s="267"/>
      <c r="AZ35" s="267"/>
      <c r="BA35" s="267"/>
      <c r="BB35" s="267"/>
      <c r="BC35" s="267"/>
      <c r="BD35" s="267"/>
      <c r="BE35" s="267"/>
      <c r="BF35" s="267"/>
      <c r="BG35" s="267"/>
      <c r="BH35" s="267"/>
      <c r="BI35" s="267"/>
      <c r="BJ35" s="267"/>
      <c r="BK35" s="267"/>
      <c r="BL35" s="267"/>
      <c r="BM35" s="267"/>
      <c r="BN35" s="267"/>
      <c r="BO35" s="267"/>
      <c r="BP35" s="267"/>
      <c r="BQ35" s="267"/>
      <c r="BR35" s="267"/>
      <c r="BS35" s="267"/>
      <c r="BT35" s="267"/>
      <c r="BU35" s="267"/>
      <c r="BV35" s="267"/>
      <c r="BW35" s="267"/>
      <c r="BX35" s="267"/>
      <c r="BY35" s="267"/>
      <c r="BZ35" s="267"/>
      <c r="CA35" s="267"/>
      <c r="CB35" s="267"/>
      <c r="CC35" s="267"/>
      <c r="CD35" s="267"/>
      <c r="CE35" s="267"/>
      <c r="CF35" s="267"/>
      <c r="CG35" s="267"/>
      <c r="CH35" s="267"/>
      <c r="CI35" s="267"/>
      <c r="CJ35" s="267"/>
      <c r="CK35" s="267"/>
      <c r="CL35" s="267"/>
      <c r="CM35" s="267"/>
      <c r="CN35" s="267"/>
      <c r="CO35" s="267"/>
      <c r="CP35" s="267"/>
      <c r="CQ35" s="267"/>
      <c r="CR35" s="267"/>
      <c r="CS35" s="267"/>
      <c r="CT35" s="267"/>
      <c r="CU35" s="267"/>
      <c r="CV35" s="267"/>
      <c r="CW35" s="267"/>
      <c r="CX35" s="267"/>
      <c r="CY35" s="267"/>
      <c r="CZ35" s="267"/>
      <c r="DA35" s="267"/>
      <c r="DB35" s="267"/>
      <c r="DC35" s="267"/>
      <c r="DD35" s="267"/>
      <c r="DE35" s="267"/>
      <c r="DF35" s="267"/>
      <c r="DG35" s="267"/>
      <c r="DH35" s="267"/>
      <c r="DI35" s="267"/>
      <c r="DJ35" s="267"/>
      <c r="DK35" s="267"/>
      <c r="DL35" s="267"/>
      <c r="DM35" s="267"/>
      <c r="DN35" s="267"/>
      <c r="DO35" s="267"/>
      <c r="DP35" s="267"/>
      <c r="DQ35" s="267"/>
      <c r="DR35" s="267"/>
      <c r="DS35" s="267"/>
      <c r="DT35" s="267"/>
      <c r="DU35" s="267"/>
      <c r="DV35" s="267"/>
      <c r="DW35" s="267"/>
      <c r="DX35" s="267"/>
      <c r="DY35" s="267"/>
      <c r="DZ35" s="267"/>
      <c r="EA35" s="267"/>
      <c r="EB35" s="267"/>
      <c r="EC35" s="267"/>
      <c r="ED35" s="267"/>
      <c r="EE35" s="267"/>
      <c r="EF35" s="267"/>
      <c r="EG35" s="267"/>
      <c r="EH35" s="267"/>
      <c r="EI35" s="267"/>
      <c r="EJ35" s="267"/>
      <c r="EK35" s="267"/>
      <c r="EL35" s="267"/>
      <c r="EM35" s="267"/>
      <c r="EN35" s="267"/>
      <c r="EO35" s="267"/>
      <c r="EP35" s="267"/>
      <c r="EQ35" s="267"/>
      <c r="ER35" s="267"/>
      <c r="ES35" s="267"/>
      <c r="ET35" s="267"/>
      <c r="EU35" s="267"/>
      <c r="EV35" s="267"/>
      <c r="EW35" s="267"/>
      <c r="EX35" s="267"/>
      <c r="EY35" s="267"/>
      <c r="EZ35" s="267"/>
      <c r="FA35" s="267"/>
      <c r="FB35" s="267"/>
      <c r="FC35" s="267"/>
      <c r="FD35" s="267"/>
      <c r="FE35" s="267"/>
      <c r="FF35" s="267"/>
      <c r="FG35" s="267"/>
      <c r="FH35" s="267"/>
      <c r="FI35" s="267"/>
      <c r="FJ35" s="267"/>
      <c r="FK35" s="267"/>
      <c r="FL35" s="267"/>
      <c r="FM35" s="267"/>
      <c r="FN35" s="267"/>
      <c r="FO35" s="267"/>
      <c r="FP35" s="267"/>
      <c r="FQ35" s="267"/>
      <c r="FR35" s="267"/>
      <c r="FS35" s="267"/>
      <c r="FT35" s="267"/>
      <c r="FU35" s="267"/>
      <c r="FV35" s="267"/>
      <c r="FW35" s="267"/>
      <c r="FX35" s="267"/>
      <c r="FY35" s="267"/>
      <c r="FZ35" s="267"/>
      <c r="GA35" s="267"/>
      <c r="GB35" s="267"/>
      <c r="GC35" s="267"/>
      <c r="GD35" s="267"/>
      <c r="GE35" s="267"/>
      <c r="GF35" s="267"/>
      <c r="GG35" s="267"/>
      <c r="GH35" s="267"/>
      <c r="GI35" s="267"/>
      <c r="GJ35" s="267"/>
    </row>
    <row r="36" spans="2:192" s="3" customFormat="1">
      <c r="B36" s="403" t="s">
        <v>223</v>
      </c>
      <c r="C36" s="239"/>
      <c r="D36" s="224"/>
      <c r="E36" s="393"/>
      <c r="F36" s="245"/>
      <c r="G36" s="239"/>
      <c r="H36" s="246"/>
      <c r="I36" s="393"/>
      <c r="J36" s="245" t="s">
        <v>223</v>
      </c>
      <c r="K36" s="251">
        <f>+C13/K33</f>
        <v>270.79765744205224</v>
      </c>
      <c r="L36" s="246">
        <f>+G13/K33</f>
        <v>123.08984429184194</v>
      </c>
      <c r="M36" s="393"/>
      <c r="N36" s="267"/>
      <c r="O36" s="267"/>
      <c r="P36" s="267"/>
      <c r="Q36" s="267"/>
      <c r="R36" s="267"/>
      <c r="S36" s="267"/>
      <c r="T36" s="267"/>
      <c r="U36" s="267"/>
      <c r="V36" s="267"/>
      <c r="W36" s="267"/>
      <c r="X36" s="267"/>
      <c r="Y36" s="267"/>
      <c r="Z36" s="267"/>
      <c r="AA36" s="267"/>
      <c r="AB36" s="267"/>
      <c r="AC36" s="267"/>
      <c r="AD36" s="267"/>
      <c r="AE36" s="267"/>
      <c r="AF36" s="267"/>
      <c r="AG36" s="267"/>
      <c r="AH36" s="267"/>
      <c r="AI36" s="267"/>
      <c r="AJ36" s="267"/>
      <c r="AK36" s="267"/>
      <c r="AL36" s="267"/>
      <c r="AM36" s="267"/>
      <c r="AN36" s="267"/>
      <c r="AO36" s="267"/>
      <c r="AP36" s="267"/>
      <c r="AQ36" s="267"/>
      <c r="AR36" s="267"/>
      <c r="AS36" s="267"/>
      <c r="AT36" s="267"/>
      <c r="AU36" s="267"/>
      <c r="AV36" s="267"/>
      <c r="AW36" s="267"/>
      <c r="AX36" s="267"/>
      <c r="AY36" s="267"/>
      <c r="AZ36" s="267"/>
      <c r="BA36" s="267"/>
      <c r="BB36" s="267"/>
      <c r="BC36" s="267"/>
      <c r="BD36" s="267"/>
      <c r="BE36" s="267"/>
      <c r="BF36" s="267"/>
      <c r="BG36" s="267"/>
      <c r="BH36" s="267"/>
      <c r="BI36" s="267"/>
      <c r="BJ36" s="267"/>
      <c r="BK36" s="267"/>
      <c r="BL36" s="267"/>
      <c r="BM36" s="267"/>
      <c r="BN36" s="267"/>
      <c r="BO36" s="267"/>
      <c r="BP36" s="267"/>
      <c r="BQ36" s="267"/>
      <c r="BR36" s="267"/>
      <c r="BS36" s="267"/>
      <c r="BT36" s="267"/>
      <c r="BU36" s="267"/>
      <c r="BV36" s="267"/>
      <c r="BW36" s="267"/>
      <c r="BX36" s="267"/>
      <c r="BY36" s="267"/>
      <c r="BZ36" s="267"/>
      <c r="CA36" s="267"/>
      <c r="CB36" s="267"/>
      <c r="CC36" s="267"/>
      <c r="CD36" s="267"/>
      <c r="CE36" s="267"/>
      <c r="CF36" s="267"/>
      <c r="CG36" s="267"/>
      <c r="CH36" s="267"/>
      <c r="CI36" s="267"/>
      <c r="CJ36" s="267"/>
      <c r="CK36" s="267"/>
      <c r="CL36" s="267"/>
      <c r="CM36" s="267"/>
      <c r="CN36" s="267"/>
      <c r="CO36" s="267"/>
      <c r="CP36" s="267"/>
      <c r="CQ36" s="267"/>
      <c r="CR36" s="267"/>
      <c r="CS36" s="267"/>
      <c r="CT36" s="267"/>
      <c r="CU36" s="267"/>
      <c r="CV36" s="267"/>
      <c r="CW36" s="267"/>
      <c r="CX36" s="267"/>
      <c r="CY36" s="267"/>
      <c r="CZ36" s="267"/>
      <c r="DA36" s="267"/>
      <c r="DB36" s="267"/>
      <c r="DC36" s="267"/>
      <c r="DD36" s="267"/>
      <c r="DE36" s="267"/>
      <c r="DF36" s="267"/>
      <c r="DG36" s="267"/>
      <c r="DH36" s="267"/>
      <c r="DI36" s="267"/>
      <c r="DJ36" s="267"/>
      <c r="DK36" s="267"/>
      <c r="DL36" s="267"/>
      <c r="DM36" s="267"/>
      <c r="DN36" s="267"/>
      <c r="DO36" s="267"/>
      <c r="DP36" s="267"/>
      <c r="DQ36" s="267"/>
      <c r="DR36" s="267"/>
      <c r="DS36" s="267"/>
      <c r="DT36" s="267"/>
      <c r="DU36" s="267"/>
      <c r="DV36" s="267"/>
      <c r="DW36" s="267"/>
      <c r="DX36" s="267"/>
      <c r="DY36" s="267"/>
      <c r="DZ36" s="267"/>
      <c r="EA36" s="267"/>
      <c r="EB36" s="267"/>
      <c r="EC36" s="267"/>
      <c r="ED36" s="267"/>
      <c r="EE36" s="267"/>
      <c r="EF36" s="267"/>
      <c r="EG36" s="267"/>
      <c r="EH36" s="267"/>
      <c r="EI36" s="267"/>
      <c r="EJ36" s="267"/>
      <c r="EK36" s="267"/>
      <c r="EL36" s="267"/>
      <c r="EM36" s="267"/>
      <c r="EN36" s="267"/>
      <c r="EO36" s="267"/>
      <c r="EP36" s="267"/>
      <c r="EQ36" s="267"/>
      <c r="ER36" s="267"/>
      <c r="ES36" s="267"/>
      <c r="ET36" s="267"/>
      <c r="EU36" s="267"/>
      <c r="EV36" s="267"/>
      <c r="EW36" s="267"/>
      <c r="EX36" s="267"/>
      <c r="EY36" s="267"/>
      <c r="EZ36" s="267"/>
      <c r="FA36" s="267"/>
      <c r="FB36" s="267"/>
      <c r="FC36" s="267"/>
      <c r="FD36" s="267"/>
      <c r="FE36" s="267"/>
      <c r="FF36" s="267"/>
      <c r="FG36" s="267"/>
      <c r="FH36" s="267"/>
      <c r="FI36" s="267"/>
      <c r="FJ36" s="267"/>
      <c r="FK36" s="267"/>
      <c r="FL36" s="267"/>
      <c r="FM36" s="267"/>
      <c r="FN36" s="267"/>
      <c r="FO36" s="267"/>
      <c r="FP36" s="267"/>
      <c r="FQ36" s="267"/>
      <c r="FR36" s="267"/>
      <c r="FS36" s="267"/>
      <c r="FT36" s="267"/>
      <c r="FU36" s="267"/>
      <c r="FV36" s="267"/>
      <c r="FW36" s="267"/>
      <c r="FX36" s="267"/>
      <c r="FY36" s="267"/>
      <c r="FZ36" s="267"/>
      <c r="GA36" s="267"/>
      <c r="GB36" s="267"/>
      <c r="GC36" s="267"/>
      <c r="GD36" s="267"/>
      <c r="GE36" s="267"/>
      <c r="GF36" s="267"/>
      <c r="GG36" s="267"/>
      <c r="GH36" s="267"/>
      <c r="GI36" s="267"/>
      <c r="GJ36" s="267"/>
    </row>
    <row r="37" spans="2:192" s="3" customFormat="1">
      <c r="B37" s="403"/>
      <c r="C37" s="218">
        <f>+$C$13/$C$34</f>
        <v>95.511193356424798</v>
      </c>
      <c r="D37" s="237">
        <f>+$G$13/$C$34</f>
        <v>43.414178798374905</v>
      </c>
      <c r="E37" s="393"/>
      <c r="F37" s="245" t="s">
        <v>223</v>
      </c>
      <c r="G37" s="236">
        <f>C13/G33</f>
        <v>189.45785242809723</v>
      </c>
      <c r="H37" s="247">
        <f>G13/G33</f>
        <v>86.117205649135101</v>
      </c>
      <c r="I37" s="393"/>
      <c r="J37" s="245"/>
      <c r="K37" s="251"/>
      <c r="L37" s="246"/>
      <c r="M37" s="393"/>
      <c r="N37" s="267"/>
      <c r="O37" s="267"/>
      <c r="P37" s="267"/>
      <c r="Q37" s="267"/>
      <c r="R37" s="267"/>
      <c r="S37" s="267"/>
      <c r="T37" s="267"/>
      <c r="U37" s="267"/>
      <c r="V37" s="267"/>
      <c r="W37" s="267"/>
      <c r="X37" s="267"/>
      <c r="Y37" s="267"/>
      <c r="Z37" s="267"/>
      <c r="AA37" s="267"/>
      <c r="AB37" s="267"/>
      <c r="AC37" s="267"/>
      <c r="AD37" s="267"/>
      <c r="AE37" s="267"/>
      <c r="AF37" s="267"/>
      <c r="AG37" s="267"/>
      <c r="AH37" s="267"/>
      <c r="AI37" s="267"/>
      <c r="AJ37" s="267"/>
      <c r="AK37" s="267"/>
      <c r="AL37" s="267"/>
      <c r="AM37" s="267"/>
      <c r="AN37" s="267"/>
      <c r="AO37" s="267"/>
      <c r="AP37" s="267"/>
      <c r="AQ37" s="267"/>
      <c r="AR37" s="267"/>
      <c r="AS37" s="267"/>
      <c r="AT37" s="267"/>
      <c r="AU37" s="267"/>
      <c r="AV37" s="267"/>
      <c r="AW37" s="267"/>
      <c r="AX37" s="267"/>
      <c r="AY37" s="267"/>
      <c r="AZ37" s="267"/>
      <c r="BA37" s="267"/>
      <c r="BB37" s="267"/>
      <c r="BC37" s="267"/>
      <c r="BD37" s="267"/>
      <c r="BE37" s="267"/>
      <c r="BF37" s="267"/>
      <c r="BG37" s="267"/>
      <c r="BH37" s="267"/>
      <c r="BI37" s="267"/>
      <c r="BJ37" s="267"/>
      <c r="BK37" s="267"/>
      <c r="BL37" s="267"/>
      <c r="BM37" s="267"/>
      <c r="BN37" s="267"/>
      <c r="BO37" s="267"/>
      <c r="BP37" s="267"/>
      <c r="BQ37" s="267"/>
      <c r="BR37" s="267"/>
      <c r="BS37" s="267"/>
      <c r="BT37" s="267"/>
      <c r="BU37" s="267"/>
      <c r="BV37" s="267"/>
      <c r="BW37" s="267"/>
      <c r="BX37" s="267"/>
      <c r="BY37" s="267"/>
      <c r="BZ37" s="267"/>
      <c r="CA37" s="267"/>
      <c r="CB37" s="267"/>
      <c r="CC37" s="267"/>
      <c r="CD37" s="267"/>
      <c r="CE37" s="267"/>
      <c r="CF37" s="267"/>
      <c r="CG37" s="267"/>
      <c r="CH37" s="267"/>
      <c r="CI37" s="267"/>
      <c r="CJ37" s="267"/>
      <c r="CK37" s="267"/>
      <c r="CL37" s="267"/>
      <c r="CM37" s="267"/>
      <c r="CN37" s="267"/>
      <c r="CO37" s="267"/>
      <c r="CP37" s="267"/>
      <c r="CQ37" s="267"/>
      <c r="CR37" s="267"/>
      <c r="CS37" s="267"/>
      <c r="CT37" s="267"/>
      <c r="CU37" s="267"/>
      <c r="CV37" s="267"/>
      <c r="CW37" s="267"/>
      <c r="CX37" s="267"/>
      <c r="CY37" s="267"/>
      <c r="CZ37" s="267"/>
      <c r="DA37" s="267"/>
      <c r="DB37" s="267"/>
      <c r="DC37" s="267"/>
      <c r="DD37" s="267"/>
      <c r="DE37" s="267"/>
      <c r="DF37" s="267"/>
      <c r="DG37" s="267"/>
      <c r="DH37" s="267"/>
      <c r="DI37" s="267"/>
      <c r="DJ37" s="267"/>
      <c r="DK37" s="267"/>
      <c r="DL37" s="267"/>
      <c r="DM37" s="267"/>
      <c r="DN37" s="267"/>
      <c r="DO37" s="267"/>
      <c r="DP37" s="267"/>
      <c r="DQ37" s="267"/>
      <c r="DR37" s="267"/>
      <c r="DS37" s="267"/>
      <c r="DT37" s="267"/>
      <c r="DU37" s="267"/>
      <c r="DV37" s="267"/>
      <c r="DW37" s="267"/>
      <c r="DX37" s="267"/>
      <c r="DY37" s="267"/>
      <c r="DZ37" s="267"/>
      <c r="EA37" s="267"/>
      <c r="EB37" s="267"/>
      <c r="EC37" s="267"/>
      <c r="ED37" s="267"/>
      <c r="EE37" s="267"/>
      <c r="EF37" s="267"/>
      <c r="EG37" s="267"/>
      <c r="EH37" s="267"/>
      <c r="EI37" s="267"/>
      <c r="EJ37" s="267"/>
      <c r="EK37" s="267"/>
      <c r="EL37" s="267"/>
      <c r="EM37" s="267"/>
      <c r="EN37" s="267"/>
      <c r="EO37" s="267"/>
      <c r="EP37" s="267"/>
      <c r="EQ37" s="267"/>
      <c r="ER37" s="267"/>
      <c r="ES37" s="267"/>
      <c r="ET37" s="267"/>
      <c r="EU37" s="267"/>
      <c r="EV37" s="267"/>
      <c r="EW37" s="267"/>
      <c r="EX37" s="267"/>
      <c r="EY37" s="267"/>
      <c r="EZ37" s="267"/>
      <c r="FA37" s="267"/>
      <c r="FB37" s="267"/>
      <c r="FC37" s="267"/>
      <c r="FD37" s="267"/>
      <c r="FE37" s="267"/>
      <c r="FF37" s="267"/>
      <c r="FG37" s="267"/>
      <c r="FH37" s="267"/>
      <c r="FI37" s="267"/>
      <c r="FJ37" s="267"/>
      <c r="FK37" s="267"/>
      <c r="FL37" s="267"/>
      <c r="FM37" s="267"/>
      <c r="FN37" s="267"/>
      <c r="FO37" s="267"/>
      <c r="FP37" s="267"/>
      <c r="FQ37" s="267"/>
      <c r="FR37" s="267"/>
      <c r="FS37" s="267"/>
      <c r="FT37" s="267"/>
      <c r="FU37" s="267"/>
      <c r="FV37" s="267"/>
      <c r="FW37" s="267"/>
      <c r="FX37" s="267"/>
      <c r="FY37" s="267"/>
      <c r="FZ37" s="267"/>
      <c r="GA37" s="267"/>
      <c r="GB37" s="267"/>
      <c r="GC37" s="267"/>
      <c r="GD37" s="267"/>
      <c r="GE37" s="267"/>
      <c r="GF37" s="267"/>
      <c r="GG37" s="267"/>
      <c r="GH37" s="267"/>
      <c r="GI37" s="267"/>
      <c r="GJ37" s="267"/>
    </row>
    <row r="38" spans="2:192" s="3" customFormat="1">
      <c r="B38" s="403"/>
      <c r="C38" s="218"/>
      <c r="D38" s="237"/>
      <c r="E38" s="393"/>
      <c r="F38" s="243"/>
      <c r="H38" s="401">
        <f>+G15/H37</f>
        <v>413.85458029382704</v>
      </c>
      <c r="I38" s="393"/>
      <c r="J38" s="245" t="s">
        <v>461</v>
      </c>
      <c r="K38" s="218"/>
      <c r="L38" s="237"/>
      <c r="M38" s="393"/>
      <c r="N38" s="267"/>
      <c r="O38" s="267"/>
      <c r="P38" s="267"/>
      <c r="Q38" s="267"/>
      <c r="R38" s="267"/>
      <c r="S38" s="267"/>
      <c r="T38" s="267"/>
      <c r="U38" s="267"/>
      <c r="V38" s="267"/>
      <c r="W38" s="267"/>
      <c r="X38" s="267"/>
      <c r="Y38" s="267"/>
      <c r="Z38" s="267"/>
      <c r="AA38" s="267"/>
      <c r="AB38" s="267"/>
      <c r="AC38" s="267"/>
      <c r="AD38" s="267"/>
      <c r="AE38" s="267"/>
      <c r="AF38" s="267"/>
      <c r="AG38" s="267"/>
      <c r="AH38" s="267"/>
      <c r="AI38" s="267"/>
      <c r="AJ38" s="267"/>
      <c r="AK38" s="267"/>
      <c r="AL38" s="267"/>
      <c r="AM38" s="267"/>
      <c r="AN38" s="267"/>
      <c r="AO38" s="267"/>
      <c r="AP38" s="267"/>
      <c r="AQ38" s="267"/>
      <c r="AR38" s="267"/>
      <c r="AS38" s="267"/>
      <c r="AT38" s="267"/>
      <c r="AU38" s="267"/>
      <c r="AV38" s="267"/>
      <c r="AW38" s="267"/>
      <c r="AX38" s="267"/>
      <c r="AY38" s="267"/>
      <c r="AZ38" s="267"/>
      <c r="BA38" s="267"/>
      <c r="BB38" s="267"/>
      <c r="BC38" s="267"/>
      <c r="BD38" s="267"/>
      <c r="BE38" s="267"/>
      <c r="BF38" s="267"/>
      <c r="BG38" s="267"/>
      <c r="BH38" s="267"/>
      <c r="BI38" s="267"/>
      <c r="BJ38" s="267"/>
      <c r="BK38" s="267"/>
      <c r="BL38" s="267"/>
      <c r="BM38" s="267"/>
      <c r="BN38" s="267"/>
      <c r="BO38" s="267"/>
      <c r="BP38" s="267"/>
      <c r="BQ38" s="267"/>
      <c r="BR38" s="267"/>
      <c r="BS38" s="267"/>
      <c r="BT38" s="267"/>
      <c r="BU38" s="267"/>
      <c r="BV38" s="267"/>
      <c r="BW38" s="267"/>
      <c r="BX38" s="267"/>
      <c r="BY38" s="267"/>
      <c r="BZ38" s="267"/>
      <c r="CA38" s="267"/>
      <c r="CB38" s="267"/>
      <c r="CC38" s="267"/>
      <c r="CD38" s="267"/>
      <c r="CE38" s="267"/>
      <c r="CF38" s="267"/>
      <c r="CG38" s="267"/>
      <c r="CH38" s="267"/>
      <c r="CI38" s="267"/>
      <c r="CJ38" s="267"/>
      <c r="CK38" s="267"/>
      <c r="CL38" s="267"/>
      <c r="CM38" s="267"/>
      <c r="CN38" s="267"/>
      <c r="CO38" s="267"/>
      <c r="CP38" s="267"/>
      <c r="CQ38" s="267"/>
      <c r="CR38" s="267"/>
      <c r="CS38" s="267"/>
      <c r="CT38" s="267"/>
      <c r="CU38" s="267"/>
      <c r="CV38" s="267"/>
      <c r="CW38" s="267"/>
      <c r="CX38" s="267"/>
      <c r="CY38" s="267"/>
      <c r="CZ38" s="267"/>
      <c r="DA38" s="267"/>
      <c r="DB38" s="267"/>
      <c r="DC38" s="267"/>
      <c r="DD38" s="267"/>
      <c r="DE38" s="267"/>
      <c r="DF38" s="267"/>
      <c r="DG38" s="267"/>
      <c r="DH38" s="267"/>
      <c r="DI38" s="267"/>
      <c r="DJ38" s="267"/>
      <c r="DK38" s="267"/>
      <c r="DL38" s="267"/>
      <c r="DM38" s="267"/>
      <c r="DN38" s="267"/>
      <c r="DO38" s="267"/>
      <c r="DP38" s="267"/>
      <c r="DQ38" s="267"/>
      <c r="DR38" s="267"/>
      <c r="DS38" s="267"/>
      <c r="DT38" s="267"/>
      <c r="DU38" s="267"/>
      <c r="DV38" s="267"/>
      <c r="DW38" s="267"/>
      <c r="DX38" s="267"/>
      <c r="DY38" s="267"/>
      <c r="DZ38" s="267"/>
      <c r="EA38" s="267"/>
      <c r="EB38" s="267"/>
      <c r="EC38" s="267"/>
      <c r="ED38" s="267"/>
      <c r="EE38" s="267"/>
      <c r="EF38" s="267"/>
      <c r="EG38" s="267"/>
      <c r="EH38" s="267"/>
      <c r="EI38" s="267"/>
      <c r="EJ38" s="267"/>
      <c r="EK38" s="267"/>
      <c r="EL38" s="267"/>
      <c r="EM38" s="267"/>
      <c r="EN38" s="267"/>
      <c r="EO38" s="267"/>
      <c r="EP38" s="267"/>
      <c r="EQ38" s="267"/>
      <c r="ER38" s="267"/>
      <c r="ES38" s="267"/>
      <c r="ET38" s="267"/>
      <c r="EU38" s="267"/>
      <c r="EV38" s="267"/>
      <c r="EW38" s="267"/>
      <c r="EX38" s="267"/>
      <c r="EY38" s="267"/>
      <c r="EZ38" s="267"/>
      <c r="FA38" s="267"/>
      <c r="FB38" s="267"/>
      <c r="FC38" s="267"/>
      <c r="FD38" s="267"/>
      <c r="FE38" s="267"/>
      <c r="FF38" s="267"/>
      <c r="FG38" s="267"/>
      <c r="FH38" s="267"/>
      <c r="FI38" s="267"/>
      <c r="FJ38" s="267"/>
      <c r="FK38" s="267"/>
      <c r="FL38" s="267"/>
      <c r="FM38" s="267"/>
      <c r="FN38" s="267"/>
      <c r="FO38" s="267"/>
      <c r="FP38" s="267"/>
      <c r="FQ38" s="267"/>
      <c r="FR38" s="267"/>
      <c r="FS38" s="267"/>
      <c r="FT38" s="267"/>
      <c r="FU38" s="267"/>
      <c r="FV38" s="267"/>
      <c r="FW38" s="267"/>
      <c r="FX38" s="267"/>
      <c r="FY38" s="267"/>
      <c r="FZ38" s="267"/>
      <c r="GA38" s="267"/>
      <c r="GB38" s="267"/>
      <c r="GC38" s="267"/>
      <c r="GD38" s="267"/>
      <c r="GE38" s="267"/>
      <c r="GF38" s="267"/>
      <c r="GG38" s="267"/>
      <c r="GH38" s="267"/>
      <c r="GI38" s="267"/>
      <c r="GJ38" s="267"/>
    </row>
    <row r="39" spans="2:192" s="3" customFormat="1">
      <c r="B39" s="402" t="s">
        <v>457</v>
      </c>
      <c r="C39" s="230"/>
      <c r="D39" s="238"/>
      <c r="E39" s="393"/>
      <c r="F39" s="245" t="s">
        <v>467</v>
      </c>
      <c r="G39" s="215">
        <f>+C15/G37</f>
        <v>727.85053896002796</v>
      </c>
      <c r="H39" s="401"/>
      <c r="I39" s="393"/>
      <c r="J39" s="245" t="s">
        <v>464</v>
      </c>
      <c r="K39" s="218">
        <f>$C$15/$K$36</f>
        <v>509.22523223639206</v>
      </c>
      <c r="L39" s="237">
        <f>$G$15/$L$36</f>
        <v>289.54460219722711</v>
      </c>
      <c r="M39" s="393"/>
      <c r="N39" s="267"/>
      <c r="O39" s="267"/>
      <c r="P39" s="267"/>
      <c r="Q39" s="267"/>
      <c r="R39" s="267"/>
      <c r="S39" s="267"/>
      <c r="T39" s="267"/>
      <c r="U39" s="267"/>
      <c r="V39" s="267"/>
      <c r="W39" s="267"/>
      <c r="X39" s="267"/>
      <c r="Y39" s="267"/>
      <c r="Z39" s="267"/>
      <c r="AA39" s="267"/>
      <c r="AB39" s="267"/>
      <c r="AC39" s="267"/>
      <c r="AD39" s="267"/>
      <c r="AE39" s="267"/>
      <c r="AF39" s="267"/>
      <c r="AG39" s="267"/>
      <c r="AH39" s="267"/>
      <c r="AI39" s="267"/>
      <c r="AJ39" s="267"/>
      <c r="AK39" s="267"/>
      <c r="AL39" s="267"/>
      <c r="AM39" s="267"/>
      <c r="AN39" s="267"/>
      <c r="AO39" s="267"/>
      <c r="AP39" s="267"/>
      <c r="AQ39" s="267"/>
      <c r="AR39" s="267"/>
      <c r="AS39" s="267"/>
      <c r="AT39" s="267"/>
      <c r="AU39" s="267"/>
      <c r="AV39" s="267"/>
      <c r="AW39" s="267"/>
      <c r="AX39" s="267"/>
      <c r="AY39" s="267"/>
      <c r="AZ39" s="267"/>
      <c r="BA39" s="267"/>
      <c r="BB39" s="267"/>
      <c r="BC39" s="267"/>
      <c r="BD39" s="267"/>
      <c r="BE39" s="267"/>
      <c r="BF39" s="267"/>
      <c r="BG39" s="267"/>
      <c r="BH39" s="267"/>
      <c r="BI39" s="267"/>
      <c r="BJ39" s="267"/>
      <c r="BK39" s="267"/>
      <c r="BL39" s="267"/>
      <c r="BM39" s="267"/>
      <c r="BN39" s="267"/>
      <c r="BO39" s="267"/>
      <c r="BP39" s="267"/>
      <c r="BQ39" s="267"/>
      <c r="BR39" s="267"/>
      <c r="BS39" s="267"/>
      <c r="BT39" s="267"/>
      <c r="BU39" s="267"/>
      <c r="BV39" s="267"/>
      <c r="BW39" s="267"/>
      <c r="BX39" s="267"/>
      <c r="BY39" s="267"/>
      <c r="BZ39" s="267"/>
      <c r="CA39" s="267"/>
      <c r="CB39" s="267"/>
      <c r="CC39" s="267"/>
      <c r="CD39" s="267"/>
      <c r="CE39" s="267"/>
      <c r="CF39" s="267"/>
      <c r="CG39" s="267"/>
      <c r="CH39" s="267"/>
      <c r="CI39" s="267"/>
      <c r="CJ39" s="267"/>
      <c r="CK39" s="267"/>
      <c r="CL39" s="267"/>
      <c r="CM39" s="267"/>
      <c r="CN39" s="267"/>
      <c r="CO39" s="267"/>
      <c r="CP39" s="267"/>
      <c r="CQ39" s="267"/>
      <c r="CR39" s="267"/>
      <c r="CS39" s="267"/>
      <c r="CT39" s="267"/>
      <c r="CU39" s="267"/>
      <c r="CV39" s="267"/>
      <c r="CW39" s="267"/>
      <c r="CX39" s="267"/>
      <c r="CY39" s="267"/>
      <c r="CZ39" s="267"/>
      <c r="DA39" s="267"/>
      <c r="DB39" s="267"/>
      <c r="DC39" s="267"/>
      <c r="DD39" s="267"/>
      <c r="DE39" s="267"/>
      <c r="DF39" s="267"/>
      <c r="DG39" s="267"/>
      <c r="DH39" s="267"/>
      <c r="DI39" s="267"/>
      <c r="DJ39" s="267"/>
      <c r="DK39" s="267"/>
      <c r="DL39" s="267"/>
      <c r="DM39" s="267"/>
      <c r="DN39" s="267"/>
      <c r="DO39" s="267"/>
      <c r="DP39" s="267"/>
      <c r="DQ39" s="267"/>
      <c r="DR39" s="267"/>
      <c r="DS39" s="267"/>
      <c r="DT39" s="267"/>
      <c r="DU39" s="267"/>
      <c r="DV39" s="267"/>
      <c r="DW39" s="267"/>
      <c r="DX39" s="267"/>
      <c r="DY39" s="267"/>
      <c r="DZ39" s="267"/>
      <c r="EA39" s="267"/>
      <c r="EB39" s="267"/>
      <c r="EC39" s="267"/>
      <c r="ED39" s="267"/>
      <c r="EE39" s="267"/>
      <c r="EF39" s="267"/>
      <c r="EG39" s="267"/>
      <c r="EH39" s="267"/>
      <c r="EI39" s="267"/>
      <c r="EJ39" s="267"/>
      <c r="EK39" s="267"/>
      <c r="EL39" s="267"/>
      <c r="EM39" s="267"/>
      <c r="EN39" s="267"/>
      <c r="EO39" s="267"/>
      <c r="EP39" s="267"/>
      <c r="EQ39" s="267"/>
      <c r="ER39" s="267"/>
      <c r="ES39" s="267"/>
      <c r="ET39" s="267"/>
      <c r="EU39" s="267"/>
      <c r="EV39" s="267"/>
      <c r="EW39" s="267"/>
      <c r="EX39" s="267"/>
      <c r="EY39" s="267"/>
      <c r="EZ39" s="267"/>
      <c r="FA39" s="267"/>
      <c r="FB39" s="267"/>
      <c r="FC39" s="267"/>
      <c r="FD39" s="267"/>
      <c r="FE39" s="267"/>
      <c r="FF39" s="267"/>
      <c r="FG39" s="267"/>
      <c r="FH39" s="267"/>
      <c r="FI39" s="267"/>
      <c r="FJ39" s="267"/>
      <c r="FK39" s="267"/>
      <c r="FL39" s="267"/>
      <c r="FM39" s="267"/>
      <c r="FN39" s="267"/>
      <c r="FO39" s="267"/>
      <c r="FP39" s="267"/>
      <c r="FQ39" s="267"/>
      <c r="FR39" s="267"/>
      <c r="FS39" s="267"/>
      <c r="FT39" s="267"/>
      <c r="FU39" s="267"/>
      <c r="FV39" s="267"/>
      <c r="FW39" s="267"/>
      <c r="FX39" s="267"/>
      <c r="FY39" s="267"/>
      <c r="FZ39" s="267"/>
      <c r="GA39" s="267"/>
      <c r="GB39" s="267"/>
      <c r="GC39" s="267"/>
      <c r="GD39" s="267"/>
      <c r="GE39" s="267"/>
      <c r="GF39" s="267"/>
      <c r="GG39" s="267"/>
      <c r="GH39" s="267"/>
      <c r="GI39" s="267"/>
      <c r="GJ39" s="267"/>
    </row>
    <row r="40" spans="2:192" s="3" customFormat="1">
      <c r="B40" s="403"/>
      <c r="C40" s="230">
        <f>+$C$15/$C$37</f>
        <v>1443.7784217123283</v>
      </c>
      <c r="D40" s="238">
        <f>+$G$15/$D$37</f>
        <v>820.92995851701073</v>
      </c>
      <c r="E40" s="393"/>
      <c r="F40" s="245"/>
      <c r="G40" s="204"/>
      <c r="H40" s="194"/>
      <c r="I40" s="192"/>
      <c r="J40" s="245"/>
      <c r="K40" s="214"/>
      <c r="L40" s="225"/>
      <c r="M40" s="393"/>
      <c r="N40" s="267"/>
      <c r="O40" s="267"/>
      <c r="P40" s="267"/>
      <c r="Q40" s="267"/>
      <c r="R40" s="267"/>
      <c r="S40" s="267"/>
      <c r="T40" s="267"/>
      <c r="U40" s="267"/>
      <c r="V40" s="267"/>
      <c r="W40" s="267"/>
      <c r="X40" s="267"/>
      <c r="Y40" s="267"/>
      <c r="Z40" s="267"/>
      <c r="AA40" s="267"/>
      <c r="AB40" s="267"/>
      <c r="AC40" s="267"/>
      <c r="AD40" s="267"/>
      <c r="AE40" s="267"/>
      <c r="AF40" s="267"/>
      <c r="AG40" s="267"/>
      <c r="AH40" s="267"/>
      <c r="AI40" s="267"/>
      <c r="AJ40" s="267"/>
      <c r="AK40" s="267"/>
      <c r="AL40" s="267"/>
      <c r="AM40" s="267"/>
      <c r="AN40" s="267"/>
      <c r="AO40" s="267"/>
      <c r="AP40" s="267"/>
      <c r="AQ40" s="267"/>
      <c r="AR40" s="267"/>
      <c r="AS40" s="267"/>
      <c r="AT40" s="267"/>
      <c r="AU40" s="267"/>
      <c r="AV40" s="267"/>
      <c r="AW40" s="267"/>
      <c r="AX40" s="267"/>
      <c r="AY40" s="267"/>
      <c r="AZ40" s="267"/>
      <c r="BA40" s="267"/>
      <c r="BB40" s="267"/>
      <c r="BC40" s="267"/>
      <c r="BD40" s="267"/>
      <c r="BE40" s="267"/>
      <c r="BF40" s="267"/>
      <c r="BG40" s="267"/>
      <c r="BH40" s="267"/>
      <c r="BI40" s="267"/>
      <c r="BJ40" s="267"/>
      <c r="BK40" s="267"/>
      <c r="BL40" s="267"/>
      <c r="BM40" s="267"/>
      <c r="BN40" s="267"/>
      <c r="BO40" s="267"/>
      <c r="BP40" s="267"/>
      <c r="BQ40" s="267"/>
      <c r="BR40" s="267"/>
      <c r="BS40" s="267"/>
      <c r="BT40" s="267"/>
      <c r="BU40" s="267"/>
      <c r="BV40" s="267"/>
      <c r="BW40" s="267"/>
      <c r="BX40" s="267"/>
      <c r="BY40" s="267"/>
      <c r="BZ40" s="267"/>
      <c r="CA40" s="267"/>
      <c r="CB40" s="267"/>
      <c r="CC40" s="267"/>
      <c r="CD40" s="267"/>
      <c r="CE40" s="267"/>
      <c r="CF40" s="267"/>
      <c r="CG40" s="267"/>
      <c r="CH40" s="267"/>
      <c r="CI40" s="267"/>
      <c r="CJ40" s="267"/>
      <c r="CK40" s="267"/>
      <c r="CL40" s="267"/>
      <c r="CM40" s="267"/>
      <c r="CN40" s="267"/>
      <c r="CO40" s="267"/>
      <c r="CP40" s="267"/>
      <c r="CQ40" s="267"/>
      <c r="CR40" s="267"/>
      <c r="CS40" s="267"/>
      <c r="CT40" s="267"/>
      <c r="CU40" s="267"/>
      <c r="CV40" s="267"/>
      <c r="CW40" s="267"/>
      <c r="CX40" s="267"/>
      <c r="CY40" s="267"/>
      <c r="CZ40" s="267"/>
      <c r="DA40" s="267"/>
      <c r="DB40" s="267"/>
      <c r="DC40" s="267"/>
      <c r="DD40" s="267"/>
      <c r="DE40" s="267"/>
      <c r="DF40" s="267"/>
      <c r="DG40" s="267"/>
      <c r="DH40" s="267"/>
      <c r="DI40" s="267"/>
      <c r="DJ40" s="267"/>
      <c r="DK40" s="267"/>
      <c r="DL40" s="267"/>
      <c r="DM40" s="267"/>
      <c r="DN40" s="267"/>
      <c r="DO40" s="267"/>
      <c r="DP40" s="267"/>
      <c r="DQ40" s="267"/>
      <c r="DR40" s="267"/>
      <c r="DS40" s="267"/>
      <c r="DT40" s="267"/>
      <c r="DU40" s="267"/>
      <c r="DV40" s="267"/>
      <c r="DW40" s="267"/>
      <c r="DX40" s="267"/>
      <c r="DY40" s="267"/>
      <c r="DZ40" s="267"/>
      <c r="EA40" s="267"/>
      <c r="EB40" s="267"/>
      <c r="EC40" s="267"/>
      <c r="ED40" s="267"/>
      <c r="EE40" s="267"/>
      <c r="EF40" s="267"/>
      <c r="EG40" s="267"/>
      <c r="EH40" s="267"/>
      <c r="EI40" s="267"/>
      <c r="EJ40" s="267"/>
      <c r="EK40" s="267"/>
      <c r="EL40" s="267"/>
      <c r="EM40" s="267"/>
      <c r="EN40" s="267"/>
      <c r="EO40" s="267"/>
      <c r="EP40" s="267"/>
      <c r="EQ40" s="267"/>
      <c r="ER40" s="267"/>
      <c r="ES40" s="267"/>
      <c r="ET40" s="267"/>
      <c r="EU40" s="267"/>
      <c r="EV40" s="267"/>
      <c r="EW40" s="267"/>
      <c r="EX40" s="267"/>
      <c r="EY40" s="267"/>
      <c r="EZ40" s="267"/>
      <c r="FA40" s="267"/>
      <c r="FB40" s="267"/>
      <c r="FC40" s="267"/>
      <c r="FD40" s="267"/>
      <c r="FE40" s="267"/>
      <c r="FF40" s="267"/>
      <c r="FG40" s="267"/>
      <c r="FH40" s="267"/>
      <c r="FI40" s="267"/>
      <c r="FJ40" s="267"/>
      <c r="FK40" s="267"/>
      <c r="FL40" s="267"/>
      <c r="FM40" s="267"/>
      <c r="FN40" s="267"/>
      <c r="FO40" s="267"/>
      <c r="FP40" s="267"/>
      <c r="FQ40" s="267"/>
      <c r="FR40" s="267"/>
      <c r="FS40" s="267"/>
      <c r="FT40" s="267"/>
      <c r="FU40" s="267"/>
      <c r="FV40" s="267"/>
      <c r="FW40" s="267"/>
      <c r="FX40" s="267"/>
      <c r="FY40" s="267"/>
      <c r="FZ40" s="267"/>
      <c r="GA40" s="267"/>
      <c r="GB40" s="267"/>
      <c r="GC40" s="267"/>
      <c r="GD40" s="267"/>
      <c r="GE40" s="267"/>
      <c r="GF40" s="267"/>
      <c r="GG40" s="267"/>
      <c r="GH40" s="267"/>
      <c r="GI40" s="267"/>
      <c r="GJ40" s="267"/>
    </row>
    <row r="41" spans="2:192" s="3" customFormat="1" ht="16.2" thickBot="1">
      <c r="B41" s="403"/>
      <c r="C41" s="216"/>
      <c r="D41" s="226"/>
      <c r="E41" s="393"/>
      <c r="F41" s="245" t="s">
        <v>470</v>
      </c>
      <c r="G41" s="230">
        <f>G39/G27*12</f>
        <v>363.92526948001398</v>
      </c>
      <c r="H41" s="226">
        <f>H38/G27*12</f>
        <v>206.92729014691352</v>
      </c>
      <c r="I41" s="233"/>
      <c r="J41" s="245"/>
      <c r="L41" s="242"/>
      <c r="M41" s="393"/>
      <c r="N41" s="267"/>
      <c r="O41" s="267"/>
      <c r="P41" s="267"/>
      <c r="Q41" s="267"/>
      <c r="R41" s="267"/>
      <c r="S41" s="267"/>
      <c r="T41" s="267"/>
      <c r="U41" s="267"/>
      <c r="V41" s="267"/>
      <c r="W41" s="267"/>
      <c r="X41" s="267"/>
      <c r="Y41" s="267"/>
      <c r="Z41" s="267"/>
      <c r="AA41" s="267"/>
      <c r="AB41" s="267"/>
      <c r="AC41" s="267"/>
      <c r="AD41" s="267"/>
      <c r="AE41" s="267"/>
      <c r="AF41" s="267"/>
      <c r="AG41" s="267"/>
      <c r="AH41" s="267"/>
      <c r="AI41" s="267"/>
      <c r="AJ41" s="267"/>
      <c r="AK41" s="267"/>
      <c r="AL41" s="267"/>
      <c r="AM41" s="267"/>
      <c r="AN41" s="267"/>
      <c r="AO41" s="267"/>
      <c r="AP41" s="267"/>
      <c r="AQ41" s="267"/>
      <c r="AR41" s="267"/>
      <c r="AS41" s="267"/>
      <c r="AT41" s="267"/>
      <c r="AU41" s="267"/>
      <c r="AV41" s="267"/>
      <c r="AW41" s="267"/>
      <c r="AX41" s="267"/>
      <c r="AY41" s="267"/>
      <c r="AZ41" s="267"/>
      <c r="BA41" s="267"/>
      <c r="BB41" s="267"/>
      <c r="BC41" s="267"/>
      <c r="BD41" s="267"/>
      <c r="BE41" s="267"/>
      <c r="BF41" s="267"/>
      <c r="BG41" s="267"/>
      <c r="BH41" s="267"/>
      <c r="BI41" s="267"/>
      <c r="BJ41" s="267"/>
      <c r="BK41" s="267"/>
      <c r="BL41" s="267"/>
      <c r="BM41" s="267"/>
      <c r="BN41" s="267"/>
      <c r="BO41" s="267"/>
      <c r="BP41" s="267"/>
      <c r="BQ41" s="267"/>
      <c r="BR41" s="267"/>
      <c r="BS41" s="267"/>
      <c r="BT41" s="267"/>
      <c r="BU41" s="267"/>
      <c r="BV41" s="267"/>
      <c r="BW41" s="267"/>
      <c r="BX41" s="267"/>
      <c r="BY41" s="267"/>
      <c r="BZ41" s="267"/>
      <c r="CA41" s="267"/>
      <c r="CB41" s="267"/>
      <c r="CC41" s="267"/>
      <c r="CD41" s="267"/>
      <c r="CE41" s="267"/>
      <c r="CF41" s="267"/>
      <c r="CG41" s="267"/>
      <c r="CH41" s="267"/>
      <c r="CI41" s="267"/>
      <c r="CJ41" s="267"/>
      <c r="CK41" s="267"/>
      <c r="CL41" s="267"/>
      <c r="CM41" s="267"/>
      <c r="CN41" s="267"/>
      <c r="CO41" s="267"/>
      <c r="CP41" s="267"/>
      <c r="CQ41" s="267"/>
      <c r="CR41" s="267"/>
      <c r="CS41" s="267"/>
      <c r="CT41" s="267"/>
      <c r="CU41" s="267"/>
      <c r="CV41" s="267"/>
      <c r="CW41" s="267"/>
      <c r="CX41" s="267"/>
      <c r="CY41" s="267"/>
      <c r="CZ41" s="267"/>
      <c r="DA41" s="267"/>
      <c r="DB41" s="267"/>
      <c r="DC41" s="267"/>
      <c r="DD41" s="267"/>
      <c r="DE41" s="267"/>
      <c r="DF41" s="267"/>
      <c r="DG41" s="267"/>
      <c r="DH41" s="267"/>
      <c r="DI41" s="267"/>
      <c r="DJ41" s="267"/>
      <c r="DK41" s="267"/>
      <c r="DL41" s="267"/>
      <c r="DM41" s="267"/>
      <c r="DN41" s="267"/>
      <c r="DO41" s="267"/>
      <c r="DP41" s="267"/>
      <c r="DQ41" s="267"/>
      <c r="DR41" s="267"/>
      <c r="DS41" s="267"/>
      <c r="DT41" s="267"/>
      <c r="DU41" s="267"/>
      <c r="DV41" s="267"/>
      <c r="DW41" s="267"/>
      <c r="DX41" s="267"/>
      <c r="DY41" s="267"/>
      <c r="DZ41" s="267"/>
      <c r="EA41" s="267"/>
      <c r="EB41" s="267"/>
      <c r="EC41" s="267"/>
      <c r="ED41" s="267"/>
      <c r="EE41" s="267"/>
      <c r="EF41" s="267"/>
      <c r="EG41" s="267"/>
      <c r="EH41" s="267"/>
      <c r="EI41" s="267"/>
      <c r="EJ41" s="267"/>
      <c r="EK41" s="267"/>
      <c r="EL41" s="267"/>
      <c r="EM41" s="267"/>
      <c r="EN41" s="267"/>
      <c r="EO41" s="267"/>
      <c r="EP41" s="267"/>
      <c r="EQ41" s="267"/>
      <c r="ER41" s="267"/>
      <c r="ES41" s="267"/>
      <c r="ET41" s="267"/>
      <c r="EU41" s="267"/>
      <c r="EV41" s="267"/>
      <c r="EW41" s="267"/>
      <c r="EX41" s="267"/>
      <c r="EY41" s="267"/>
      <c r="EZ41" s="267"/>
      <c r="FA41" s="267"/>
      <c r="FB41" s="267"/>
      <c r="FC41" s="267"/>
      <c r="FD41" s="267"/>
      <c r="FE41" s="267"/>
      <c r="FF41" s="267"/>
      <c r="FG41" s="267"/>
      <c r="FH41" s="267"/>
      <c r="FI41" s="267"/>
      <c r="FJ41" s="267"/>
      <c r="FK41" s="267"/>
      <c r="FL41" s="267"/>
      <c r="FM41" s="267"/>
      <c r="FN41" s="267"/>
      <c r="FO41" s="267"/>
      <c r="FP41" s="267"/>
      <c r="FQ41" s="267"/>
      <c r="FR41" s="267"/>
      <c r="FS41" s="267"/>
      <c r="FT41" s="267"/>
      <c r="FU41" s="267"/>
      <c r="FV41" s="267"/>
      <c r="FW41" s="267"/>
      <c r="FX41" s="267"/>
      <c r="FY41" s="267"/>
      <c r="FZ41" s="267"/>
      <c r="GA41" s="267"/>
      <c r="GB41" s="267"/>
      <c r="GC41" s="267"/>
      <c r="GD41" s="267"/>
      <c r="GE41" s="267"/>
      <c r="GF41" s="267"/>
      <c r="GG41" s="267"/>
      <c r="GH41" s="267"/>
      <c r="GI41" s="267"/>
      <c r="GJ41" s="267"/>
    </row>
    <row r="42" spans="2:192" s="3" customFormat="1" ht="16.2" thickBot="1">
      <c r="B42" s="227" t="s">
        <v>321</v>
      </c>
      <c r="C42" s="228"/>
      <c r="D42" s="229"/>
      <c r="E42" s="192"/>
      <c r="F42" s="227" t="s">
        <v>322</v>
      </c>
      <c r="G42" s="228"/>
      <c r="H42" s="229"/>
      <c r="I42" s="192"/>
      <c r="J42" s="227" t="s">
        <v>323</v>
      </c>
      <c r="K42" s="228"/>
      <c r="L42" s="229"/>
      <c r="M42" s="192"/>
      <c r="N42" s="267"/>
      <c r="O42" s="267"/>
      <c r="P42" s="267"/>
      <c r="Q42" s="267"/>
      <c r="R42" s="267"/>
      <c r="S42" s="267"/>
      <c r="T42" s="267"/>
      <c r="U42" s="267"/>
      <c r="V42" s="267"/>
      <c r="W42" s="267"/>
      <c r="X42" s="267"/>
      <c r="Y42" s="267"/>
      <c r="Z42" s="267"/>
      <c r="AA42" s="267"/>
      <c r="AB42" s="267"/>
      <c r="AC42" s="267"/>
      <c r="AD42" s="267"/>
      <c r="AE42" s="267"/>
      <c r="AF42" s="267"/>
      <c r="AG42" s="267"/>
      <c r="AH42" s="267"/>
      <c r="AI42" s="267"/>
      <c r="AJ42" s="267"/>
      <c r="AK42" s="267"/>
      <c r="AL42" s="267"/>
      <c r="AM42" s="267"/>
      <c r="AN42" s="267"/>
      <c r="AO42" s="267"/>
      <c r="AP42" s="267"/>
      <c r="AQ42" s="267"/>
      <c r="AR42" s="267"/>
      <c r="AS42" s="267"/>
      <c r="AT42" s="267"/>
      <c r="AU42" s="267"/>
      <c r="AV42" s="267"/>
      <c r="AW42" s="267"/>
      <c r="AX42" s="267"/>
      <c r="AY42" s="267"/>
      <c r="AZ42" s="267"/>
      <c r="BA42" s="267"/>
      <c r="BB42" s="267"/>
      <c r="BC42" s="267"/>
      <c r="BD42" s="267"/>
      <c r="BE42" s="267"/>
      <c r="BF42" s="267"/>
      <c r="BG42" s="267"/>
      <c r="BH42" s="267"/>
      <c r="BI42" s="267"/>
      <c r="BJ42" s="267"/>
      <c r="BK42" s="267"/>
      <c r="BL42" s="267"/>
      <c r="BM42" s="267"/>
      <c r="BN42" s="267"/>
      <c r="BO42" s="267"/>
      <c r="BP42" s="267"/>
      <c r="BQ42" s="267"/>
      <c r="BR42" s="267"/>
      <c r="BS42" s="267"/>
      <c r="BT42" s="267"/>
      <c r="BU42" s="267"/>
      <c r="BV42" s="267"/>
      <c r="BW42" s="267"/>
      <c r="BX42" s="267"/>
      <c r="BY42" s="267"/>
      <c r="BZ42" s="267"/>
      <c r="CA42" s="267"/>
      <c r="CB42" s="267"/>
      <c r="CC42" s="267"/>
      <c r="CD42" s="267"/>
      <c r="CE42" s="267"/>
      <c r="CF42" s="267"/>
      <c r="CG42" s="267"/>
      <c r="CH42" s="267"/>
      <c r="CI42" s="267"/>
      <c r="CJ42" s="267"/>
      <c r="CK42" s="267"/>
      <c r="CL42" s="267"/>
      <c r="CM42" s="267"/>
      <c r="CN42" s="267"/>
      <c r="CO42" s="267"/>
      <c r="CP42" s="267"/>
      <c r="CQ42" s="267"/>
      <c r="CR42" s="267"/>
      <c r="CS42" s="267"/>
      <c r="CT42" s="267"/>
      <c r="CU42" s="267"/>
      <c r="CV42" s="267"/>
      <c r="CW42" s="267"/>
      <c r="CX42" s="267"/>
      <c r="CY42" s="267"/>
      <c r="CZ42" s="267"/>
      <c r="DA42" s="267"/>
      <c r="DB42" s="267"/>
      <c r="DC42" s="267"/>
      <c r="DD42" s="267"/>
      <c r="DE42" s="267"/>
      <c r="DF42" s="267"/>
      <c r="DG42" s="267"/>
      <c r="DH42" s="267"/>
      <c r="DI42" s="267"/>
      <c r="DJ42" s="267"/>
      <c r="DK42" s="267"/>
      <c r="DL42" s="267"/>
      <c r="DM42" s="267"/>
      <c r="DN42" s="267"/>
      <c r="DO42" s="267"/>
      <c r="DP42" s="267"/>
      <c r="DQ42" s="267"/>
      <c r="DR42" s="267"/>
      <c r="DS42" s="267"/>
      <c r="DT42" s="267"/>
      <c r="DU42" s="267"/>
      <c r="DV42" s="267"/>
      <c r="DW42" s="267"/>
      <c r="DX42" s="267"/>
      <c r="DY42" s="267"/>
      <c r="DZ42" s="267"/>
      <c r="EA42" s="267"/>
      <c r="EB42" s="267"/>
      <c r="EC42" s="267"/>
      <c r="ED42" s="267"/>
      <c r="EE42" s="267"/>
      <c r="EF42" s="267"/>
      <c r="EG42" s="267"/>
      <c r="EH42" s="267"/>
      <c r="EI42" s="267"/>
      <c r="EJ42" s="267"/>
      <c r="EK42" s="267"/>
      <c r="EL42" s="267"/>
      <c r="EM42" s="267"/>
      <c r="EN42" s="267"/>
      <c r="EO42" s="267"/>
      <c r="EP42" s="267"/>
      <c r="EQ42" s="267"/>
      <c r="ER42" s="267"/>
      <c r="ES42" s="267"/>
      <c r="ET42" s="267"/>
      <c r="EU42" s="267"/>
      <c r="EV42" s="267"/>
      <c r="EW42" s="267"/>
      <c r="EX42" s="267"/>
      <c r="EY42" s="267"/>
      <c r="EZ42" s="267"/>
      <c r="FA42" s="267"/>
      <c r="FB42" s="267"/>
      <c r="FC42" s="267"/>
      <c r="FD42" s="267"/>
      <c r="FE42" s="267"/>
      <c r="FF42" s="267"/>
      <c r="FG42" s="267"/>
      <c r="FH42" s="267"/>
      <c r="FI42" s="267"/>
      <c r="FJ42" s="267"/>
      <c r="FK42" s="267"/>
      <c r="FL42" s="267"/>
      <c r="FM42" s="267"/>
      <c r="FN42" s="267"/>
      <c r="FO42" s="267"/>
      <c r="FP42" s="267"/>
      <c r="FQ42" s="267"/>
      <c r="FR42" s="267"/>
      <c r="FS42" s="267"/>
      <c r="FT42" s="267"/>
      <c r="FU42" s="267"/>
      <c r="FV42" s="267"/>
      <c r="FW42" s="267"/>
      <c r="FX42" s="267"/>
      <c r="FY42" s="267"/>
      <c r="FZ42" s="267"/>
      <c r="GA42" s="267"/>
      <c r="GB42" s="267"/>
      <c r="GC42" s="267"/>
      <c r="GD42" s="267"/>
      <c r="GE42" s="267"/>
      <c r="GF42" s="267"/>
      <c r="GG42" s="267"/>
      <c r="GH42" s="267"/>
      <c r="GI42" s="267"/>
      <c r="GJ42" s="267"/>
    </row>
    <row r="43" spans="2:192" s="3" customFormat="1"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267"/>
      <c r="O43" s="267"/>
      <c r="P43" s="267"/>
      <c r="Q43" s="267"/>
      <c r="R43" s="267"/>
      <c r="S43" s="267"/>
      <c r="T43" s="267"/>
      <c r="U43" s="267"/>
      <c r="V43" s="267"/>
      <c r="W43" s="267"/>
      <c r="X43" s="267"/>
      <c r="Y43" s="267"/>
      <c r="Z43" s="267"/>
      <c r="AA43" s="267"/>
      <c r="AB43" s="267"/>
      <c r="AC43" s="267"/>
      <c r="AD43" s="267"/>
      <c r="AE43" s="267"/>
      <c r="AF43" s="267"/>
      <c r="AG43" s="267"/>
      <c r="AH43" s="267"/>
      <c r="AI43" s="267"/>
      <c r="AJ43" s="267"/>
      <c r="AK43" s="267"/>
      <c r="AL43" s="267"/>
      <c r="AM43" s="267"/>
      <c r="AN43" s="267"/>
      <c r="AO43" s="267"/>
      <c r="AP43" s="267"/>
      <c r="AQ43" s="267"/>
      <c r="AR43" s="267"/>
      <c r="AS43" s="267"/>
      <c r="AT43" s="267"/>
      <c r="AU43" s="267"/>
      <c r="AV43" s="267"/>
      <c r="AW43" s="267"/>
      <c r="AX43" s="267"/>
      <c r="AY43" s="267"/>
      <c r="AZ43" s="267"/>
      <c r="BA43" s="267"/>
      <c r="BB43" s="267"/>
      <c r="BC43" s="267"/>
      <c r="BD43" s="267"/>
      <c r="BE43" s="267"/>
      <c r="BF43" s="267"/>
      <c r="BG43" s="267"/>
      <c r="BH43" s="267"/>
      <c r="BI43" s="267"/>
      <c r="BJ43" s="267"/>
      <c r="BK43" s="267"/>
      <c r="BL43" s="267"/>
      <c r="BM43" s="267"/>
      <c r="BN43" s="267"/>
      <c r="BO43" s="267"/>
      <c r="BP43" s="267"/>
      <c r="BQ43" s="267"/>
      <c r="BR43" s="267"/>
      <c r="BS43" s="267"/>
      <c r="BT43" s="267"/>
      <c r="BU43" s="267"/>
      <c r="BV43" s="267"/>
      <c r="BW43" s="267"/>
      <c r="BX43" s="267"/>
      <c r="BY43" s="267"/>
      <c r="BZ43" s="267"/>
      <c r="CA43" s="267"/>
      <c r="CB43" s="267"/>
      <c r="CC43" s="267"/>
      <c r="CD43" s="267"/>
      <c r="CE43" s="267"/>
      <c r="CF43" s="267"/>
      <c r="CG43" s="267"/>
      <c r="CH43" s="267"/>
      <c r="CI43" s="267"/>
      <c r="CJ43" s="267"/>
      <c r="CK43" s="267"/>
      <c r="CL43" s="267"/>
      <c r="CM43" s="267"/>
      <c r="CN43" s="267"/>
      <c r="CO43" s="267"/>
      <c r="CP43" s="267"/>
      <c r="CQ43" s="267"/>
      <c r="CR43" s="267"/>
      <c r="CS43" s="267"/>
      <c r="CT43" s="267"/>
      <c r="CU43" s="267"/>
      <c r="CV43" s="267"/>
      <c r="CW43" s="267"/>
      <c r="CX43" s="267"/>
      <c r="CY43" s="267"/>
      <c r="CZ43" s="267"/>
      <c r="DA43" s="267"/>
      <c r="DB43" s="267"/>
      <c r="DC43" s="267"/>
      <c r="DD43" s="267"/>
      <c r="DE43" s="267"/>
      <c r="DF43" s="267"/>
      <c r="DG43" s="267"/>
      <c r="DH43" s="267"/>
      <c r="DI43" s="267"/>
      <c r="DJ43" s="267"/>
      <c r="DK43" s="267"/>
      <c r="DL43" s="267"/>
      <c r="DM43" s="267"/>
      <c r="DN43" s="267"/>
      <c r="DO43" s="267"/>
      <c r="DP43" s="267"/>
      <c r="DQ43" s="267"/>
      <c r="DR43" s="267"/>
      <c r="DS43" s="267"/>
      <c r="DT43" s="267"/>
      <c r="DU43" s="267"/>
      <c r="DV43" s="267"/>
      <c r="DW43" s="267"/>
      <c r="DX43" s="267"/>
      <c r="DY43" s="267"/>
      <c r="DZ43" s="267"/>
      <c r="EA43" s="267"/>
      <c r="EB43" s="267"/>
      <c r="EC43" s="267"/>
      <c r="ED43" s="267"/>
      <c r="EE43" s="267"/>
      <c r="EF43" s="267"/>
      <c r="EG43" s="267"/>
      <c r="EH43" s="267"/>
      <c r="EI43" s="267"/>
      <c r="EJ43" s="267"/>
      <c r="EK43" s="267"/>
      <c r="EL43" s="267"/>
      <c r="EM43" s="267"/>
      <c r="EN43" s="267"/>
      <c r="EO43" s="267"/>
      <c r="EP43" s="267"/>
      <c r="EQ43" s="267"/>
      <c r="ER43" s="267"/>
      <c r="ES43" s="267"/>
      <c r="ET43" s="267"/>
      <c r="EU43" s="267"/>
      <c r="EV43" s="267"/>
      <c r="EW43" s="267"/>
      <c r="EX43" s="267"/>
      <c r="EY43" s="267"/>
      <c r="EZ43" s="267"/>
      <c r="FA43" s="267"/>
      <c r="FB43" s="267"/>
      <c r="FC43" s="267"/>
      <c r="FD43" s="267"/>
      <c r="FE43" s="267"/>
      <c r="FF43" s="267"/>
      <c r="FG43" s="267"/>
      <c r="FH43" s="267"/>
      <c r="FI43" s="267"/>
      <c r="FJ43" s="267"/>
      <c r="FK43" s="267"/>
      <c r="FL43" s="267"/>
      <c r="FM43" s="267"/>
      <c r="FN43" s="267"/>
      <c r="FO43" s="267"/>
      <c r="FP43" s="267"/>
      <c r="FQ43" s="267"/>
      <c r="FR43" s="267"/>
      <c r="FS43" s="267"/>
      <c r="FT43" s="267"/>
      <c r="FU43" s="267"/>
      <c r="FV43" s="267"/>
      <c r="FW43" s="267"/>
      <c r="FX43" s="267"/>
      <c r="FY43" s="267"/>
      <c r="FZ43" s="267"/>
      <c r="GA43" s="267"/>
      <c r="GB43" s="267"/>
      <c r="GC43" s="267"/>
      <c r="GD43" s="267"/>
      <c r="GE43" s="267"/>
      <c r="GF43" s="267"/>
      <c r="GG43" s="267"/>
      <c r="GH43" s="267"/>
      <c r="GI43" s="267"/>
      <c r="GJ43" s="267"/>
    </row>
    <row r="44" spans="2:192" s="3" customFormat="1"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2"/>
      <c r="N44" s="267"/>
      <c r="O44" s="267"/>
      <c r="P44" s="267"/>
      <c r="Q44" s="267"/>
      <c r="R44" s="267"/>
      <c r="S44" s="267"/>
      <c r="T44" s="267"/>
      <c r="U44" s="267"/>
      <c r="V44" s="267"/>
      <c r="W44" s="267"/>
      <c r="X44" s="267"/>
      <c r="Y44" s="267"/>
      <c r="Z44" s="267"/>
      <c r="AA44" s="267"/>
      <c r="AB44" s="267"/>
      <c r="AC44" s="267"/>
      <c r="AD44" s="267"/>
      <c r="AE44" s="267"/>
      <c r="AF44" s="267"/>
      <c r="AG44" s="267"/>
      <c r="AH44" s="267"/>
      <c r="AI44" s="267"/>
      <c r="AJ44" s="267"/>
      <c r="AK44" s="267"/>
      <c r="AL44" s="267"/>
      <c r="AM44" s="267"/>
      <c r="AN44" s="267"/>
      <c r="AO44" s="267"/>
      <c r="AP44" s="267"/>
      <c r="AQ44" s="267"/>
      <c r="AR44" s="267"/>
      <c r="AS44" s="267"/>
      <c r="AT44" s="267"/>
      <c r="AU44" s="267"/>
      <c r="AV44" s="267"/>
      <c r="AW44" s="267"/>
      <c r="AX44" s="267"/>
      <c r="AY44" s="267"/>
      <c r="AZ44" s="267"/>
      <c r="BA44" s="267"/>
      <c r="BB44" s="267"/>
      <c r="BC44" s="267"/>
      <c r="BD44" s="267"/>
      <c r="BE44" s="267"/>
      <c r="BF44" s="267"/>
      <c r="BG44" s="267"/>
      <c r="BH44" s="267"/>
      <c r="BI44" s="267"/>
      <c r="BJ44" s="267"/>
      <c r="BK44" s="267"/>
      <c r="BL44" s="267"/>
      <c r="BM44" s="267"/>
      <c r="BN44" s="267"/>
      <c r="BO44" s="267"/>
      <c r="BP44" s="267"/>
      <c r="BQ44" s="267"/>
      <c r="BR44" s="267"/>
      <c r="BS44" s="267"/>
      <c r="BT44" s="267"/>
      <c r="BU44" s="267"/>
      <c r="BV44" s="267"/>
      <c r="BW44" s="267"/>
      <c r="BX44" s="267"/>
      <c r="BY44" s="267"/>
      <c r="BZ44" s="267"/>
      <c r="CA44" s="267"/>
      <c r="CB44" s="267"/>
      <c r="CC44" s="267"/>
      <c r="CD44" s="267"/>
      <c r="CE44" s="267"/>
      <c r="CF44" s="267"/>
      <c r="CG44" s="267"/>
      <c r="CH44" s="267"/>
      <c r="CI44" s="267"/>
      <c r="CJ44" s="267"/>
      <c r="CK44" s="267"/>
      <c r="CL44" s="267"/>
      <c r="CM44" s="267"/>
      <c r="CN44" s="267"/>
      <c r="CO44" s="267"/>
      <c r="CP44" s="267"/>
      <c r="CQ44" s="267"/>
      <c r="CR44" s="267"/>
      <c r="CS44" s="267"/>
      <c r="CT44" s="267"/>
      <c r="CU44" s="267"/>
      <c r="CV44" s="267"/>
      <c r="CW44" s="267"/>
      <c r="CX44" s="267"/>
      <c r="CY44" s="267"/>
      <c r="CZ44" s="267"/>
      <c r="DA44" s="267"/>
      <c r="DB44" s="267"/>
      <c r="DC44" s="267"/>
      <c r="DD44" s="267"/>
      <c r="DE44" s="267"/>
      <c r="DF44" s="267"/>
      <c r="DG44" s="267"/>
      <c r="DH44" s="267"/>
      <c r="DI44" s="267"/>
      <c r="DJ44" s="267"/>
      <c r="DK44" s="267"/>
      <c r="DL44" s="267"/>
      <c r="DM44" s="267"/>
      <c r="DN44" s="267"/>
      <c r="DO44" s="267"/>
      <c r="DP44" s="267"/>
      <c r="DQ44" s="267"/>
      <c r="DR44" s="267"/>
      <c r="DS44" s="267"/>
      <c r="DT44" s="267"/>
      <c r="DU44" s="267"/>
      <c r="DV44" s="267"/>
      <c r="DW44" s="267"/>
      <c r="DX44" s="267"/>
      <c r="DY44" s="267"/>
      <c r="DZ44" s="267"/>
      <c r="EA44" s="267"/>
      <c r="EB44" s="267"/>
      <c r="EC44" s="267"/>
      <c r="ED44" s="267"/>
      <c r="EE44" s="267"/>
      <c r="EF44" s="267"/>
      <c r="EG44" s="267"/>
      <c r="EH44" s="267"/>
      <c r="EI44" s="267"/>
      <c r="EJ44" s="267"/>
      <c r="EK44" s="267"/>
      <c r="EL44" s="267"/>
      <c r="EM44" s="267"/>
      <c r="EN44" s="267"/>
      <c r="EO44" s="267"/>
      <c r="EP44" s="267"/>
      <c r="EQ44" s="267"/>
      <c r="ER44" s="267"/>
      <c r="ES44" s="267"/>
      <c r="ET44" s="267"/>
      <c r="EU44" s="267"/>
      <c r="EV44" s="267"/>
      <c r="EW44" s="267"/>
      <c r="EX44" s="267"/>
      <c r="EY44" s="267"/>
      <c r="EZ44" s="267"/>
      <c r="FA44" s="267"/>
      <c r="FB44" s="267"/>
      <c r="FC44" s="267"/>
      <c r="FD44" s="267"/>
      <c r="FE44" s="267"/>
      <c r="FF44" s="267"/>
      <c r="FG44" s="267"/>
      <c r="FH44" s="267"/>
      <c r="FI44" s="267"/>
      <c r="FJ44" s="267"/>
      <c r="FK44" s="267"/>
      <c r="FL44" s="267"/>
      <c r="FM44" s="267"/>
      <c r="FN44" s="267"/>
      <c r="FO44" s="267"/>
      <c r="FP44" s="267"/>
      <c r="FQ44" s="267"/>
      <c r="FR44" s="267"/>
      <c r="FS44" s="267"/>
      <c r="FT44" s="267"/>
      <c r="FU44" s="267"/>
      <c r="FV44" s="267"/>
      <c r="FW44" s="267"/>
      <c r="FX44" s="267"/>
      <c r="FY44" s="267"/>
      <c r="FZ44" s="267"/>
      <c r="GA44" s="267"/>
      <c r="GB44" s="267"/>
      <c r="GC44" s="267"/>
      <c r="GD44" s="267"/>
      <c r="GE44" s="267"/>
      <c r="GF44" s="267"/>
      <c r="GG44" s="267"/>
      <c r="GH44" s="267"/>
      <c r="GI44" s="267"/>
      <c r="GJ44" s="267"/>
    </row>
    <row r="45" spans="2:192" s="3" customFormat="1" ht="16.2" thickBot="1"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P45" s="267"/>
      <c r="AQ45" s="267"/>
      <c r="AR45" s="267"/>
      <c r="AS45" s="267"/>
      <c r="AT45" s="267"/>
      <c r="AU45" s="267"/>
      <c r="AV45" s="267"/>
      <c r="AW45" s="267"/>
      <c r="AX45" s="267"/>
      <c r="AY45" s="267"/>
      <c r="AZ45" s="267"/>
      <c r="BA45" s="267"/>
      <c r="BB45" s="267"/>
      <c r="BC45" s="267"/>
      <c r="BD45" s="267"/>
      <c r="BE45" s="267"/>
      <c r="BF45" s="267"/>
      <c r="BG45" s="267"/>
      <c r="BH45" s="267"/>
      <c r="BI45" s="267"/>
      <c r="BJ45" s="267"/>
      <c r="BK45" s="267"/>
      <c r="BL45" s="267"/>
      <c r="BM45" s="267"/>
      <c r="BN45" s="267"/>
      <c r="BO45" s="267"/>
      <c r="BP45" s="267"/>
      <c r="BQ45" s="267"/>
      <c r="BR45" s="267"/>
      <c r="BS45" s="267"/>
      <c r="BT45" s="267"/>
      <c r="BU45" s="267"/>
      <c r="BV45" s="267"/>
      <c r="BW45" s="267"/>
      <c r="BX45" s="267"/>
      <c r="BY45" s="267"/>
      <c r="BZ45" s="267"/>
      <c r="CA45" s="267"/>
      <c r="CB45" s="267"/>
      <c r="CC45" s="267"/>
      <c r="CD45" s="267"/>
      <c r="CE45" s="267"/>
      <c r="CF45" s="267"/>
      <c r="CG45" s="267"/>
      <c r="CH45" s="267"/>
      <c r="CI45" s="267"/>
      <c r="CJ45" s="267"/>
      <c r="CK45" s="267"/>
      <c r="CL45" s="267"/>
      <c r="CM45" s="267"/>
      <c r="CN45" s="267"/>
      <c r="CO45" s="267"/>
      <c r="CP45" s="267"/>
      <c r="CQ45" s="267"/>
      <c r="CR45" s="267"/>
      <c r="CS45" s="267"/>
      <c r="CT45" s="267"/>
      <c r="CU45" s="267"/>
      <c r="CV45" s="267"/>
      <c r="CW45" s="267"/>
      <c r="CX45" s="267"/>
      <c r="CY45" s="267"/>
      <c r="CZ45" s="267"/>
      <c r="DA45" s="267"/>
      <c r="DB45" s="267"/>
      <c r="DC45" s="267"/>
      <c r="DD45" s="267"/>
      <c r="DE45" s="267"/>
      <c r="DF45" s="267"/>
      <c r="DG45" s="267"/>
      <c r="DH45" s="267"/>
      <c r="DI45" s="267"/>
      <c r="DJ45" s="267"/>
      <c r="DK45" s="267"/>
      <c r="DL45" s="267"/>
      <c r="DM45" s="267"/>
      <c r="DN45" s="267"/>
      <c r="DO45" s="267"/>
      <c r="DP45" s="267"/>
      <c r="DQ45" s="267"/>
      <c r="DR45" s="267"/>
      <c r="DS45" s="267"/>
      <c r="DT45" s="267"/>
      <c r="DU45" s="267"/>
      <c r="DV45" s="267"/>
      <c r="DW45" s="267"/>
      <c r="DX45" s="267"/>
      <c r="DY45" s="267"/>
      <c r="DZ45" s="267"/>
      <c r="EA45" s="267"/>
      <c r="EB45" s="267"/>
      <c r="EC45" s="267"/>
      <c r="ED45" s="267"/>
      <c r="EE45" s="267"/>
      <c r="EF45" s="267"/>
      <c r="EG45" s="267"/>
      <c r="EH45" s="267"/>
      <c r="EI45" s="267"/>
      <c r="EJ45" s="267"/>
      <c r="EK45" s="267"/>
      <c r="EL45" s="267"/>
      <c r="EM45" s="267"/>
      <c r="EN45" s="267"/>
      <c r="EO45" s="267"/>
      <c r="EP45" s="267"/>
      <c r="EQ45" s="267"/>
      <c r="ER45" s="267"/>
      <c r="ES45" s="267"/>
      <c r="ET45" s="267"/>
      <c r="EU45" s="267"/>
      <c r="EV45" s="267"/>
      <c r="EW45" s="267"/>
      <c r="EX45" s="267"/>
      <c r="EY45" s="267"/>
      <c r="EZ45" s="267"/>
      <c r="FA45" s="267"/>
      <c r="FB45" s="267"/>
      <c r="FC45" s="267"/>
      <c r="FD45" s="267"/>
      <c r="FE45" s="267"/>
      <c r="FF45" s="267"/>
      <c r="FG45" s="267"/>
      <c r="FH45" s="267"/>
      <c r="FI45" s="267"/>
      <c r="FJ45" s="267"/>
      <c r="FK45" s="267"/>
      <c r="FL45" s="267"/>
      <c r="FM45" s="267"/>
      <c r="FN45" s="267"/>
      <c r="FO45" s="267"/>
      <c r="FP45" s="267"/>
      <c r="FQ45" s="267"/>
      <c r="FR45" s="267"/>
      <c r="FS45" s="267"/>
      <c r="FT45" s="267"/>
      <c r="FU45" s="267"/>
      <c r="FV45" s="267"/>
      <c r="FW45" s="267"/>
      <c r="FX45" s="267"/>
      <c r="FY45" s="267"/>
      <c r="FZ45" s="267"/>
      <c r="GA45" s="267"/>
      <c r="GB45" s="267"/>
      <c r="GC45" s="267"/>
      <c r="GD45" s="267"/>
      <c r="GE45" s="267"/>
      <c r="GF45" s="267"/>
      <c r="GG45" s="267"/>
      <c r="GH45" s="267"/>
      <c r="GI45" s="267"/>
      <c r="GJ45" s="267"/>
    </row>
    <row r="46" spans="2:192" s="3" customFormat="1" ht="33" customHeight="1" thickBot="1">
      <c r="B46" s="392" t="s">
        <v>463</v>
      </c>
      <c r="C46" s="392"/>
      <c r="D46" s="392"/>
      <c r="E46" s="192"/>
      <c r="F46" s="396" t="s">
        <v>465</v>
      </c>
      <c r="G46" s="397"/>
      <c r="H46" s="398"/>
      <c r="I46" s="192"/>
      <c r="J46" s="396" t="s">
        <v>469</v>
      </c>
      <c r="K46" s="397"/>
      <c r="L46" s="398"/>
      <c r="M46" s="192"/>
      <c r="N46" s="268"/>
      <c r="O46" s="267"/>
      <c r="P46" s="267"/>
      <c r="Q46" s="267"/>
      <c r="R46" s="267"/>
      <c r="S46" s="267"/>
      <c r="T46" s="267"/>
      <c r="U46" s="267"/>
      <c r="V46" s="267"/>
      <c r="W46" s="267"/>
      <c r="X46" s="267"/>
      <c r="Y46" s="267"/>
      <c r="Z46" s="267"/>
      <c r="AA46" s="267"/>
      <c r="AB46" s="267"/>
      <c r="AC46" s="267"/>
      <c r="AD46" s="267"/>
      <c r="AE46" s="267"/>
      <c r="AF46" s="267"/>
      <c r="AG46" s="267"/>
      <c r="AH46" s="267"/>
      <c r="AI46" s="267"/>
      <c r="AJ46" s="267"/>
      <c r="AK46" s="267"/>
      <c r="AL46" s="267"/>
      <c r="AM46" s="267"/>
      <c r="AN46" s="267"/>
      <c r="AO46" s="267"/>
      <c r="AP46" s="267"/>
      <c r="AQ46" s="267"/>
      <c r="AR46" s="267"/>
      <c r="AS46" s="267"/>
      <c r="AT46" s="267"/>
      <c r="AU46" s="267"/>
      <c r="AV46" s="267"/>
      <c r="AW46" s="267"/>
      <c r="AX46" s="267"/>
      <c r="AY46" s="267"/>
      <c r="AZ46" s="267"/>
      <c r="BA46" s="267"/>
      <c r="BB46" s="267"/>
      <c r="BC46" s="267"/>
      <c r="BD46" s="267"/>
      <c r="BE46" s="267"/>
      <c r="BF46" s="267"/>
      <c r="BG46" s="267"/>
      <c r="BH46" s="267"/>
      <c r="BI46" s="267"/>
      <c r="BJ46" s="267"/>
      <c r="BK46" s="267"/>
      <c r="BL46" s="267"/>
      <c r="BM46" s="267"/>
      <c r="BN46" s="267"/>
      <c r="BO46" s="267"/>
      <c r="BP46" s="267"/>
      <c r="BQ46" s="267"/>
      <c r="BR46" s="267"/>
      <c r="BS46" s="267"/>
      <c r="BT46" s="267"/>
      <c r="BU46" s="267"/>
      <c r="BV46" s="267"/>
      <c r="BW46" s="267"/>
      <c r="BX46" s="267"/>
      <c r="BY46" s="267"/>
      <c r="BZ46" s="267"/>
      <c r="CA46" s="267"/>
      <c r="CB46" s="267"/>
      <c r="CC46" s="267"/>
      <c r="CD46" s="267"/>
      <c r="CE46" s="267"/>
      <c r="CF46" s="267"/>
      <c r="CG46" s="267"/>
      <c r="CH46" s="267"/>
      <c r="CI46" s="267"/>
      <c r="CJ46" s="267"/>
      <c r="CK46" s="267"/>
      <c r="CL46" s="267"/>
      <c r="CM46" s="267"/>
      <c r="CN46" s="267"/>
      <c r="CO46" s="267"/>
      <c r="CP46" s="267"/>
      <c r="CQ46" s="267"/>
      <c r="CR46" s="267"/>
      <c r="CS46" s="267"/>
      <c r="CT46" s="267"/>
      <c r="CU46" s="267"/>
      <c r="CV46" s="267"/>
      <c r="CW46" s="267"/>
      <c r="CX46" s="267"/>
      <c r="CY46" s="267"/>
      <c r="CZ46" s="267"/>
      <c r="DA46" s="267"/>
      <c r="DB46" s="267"/>
      <c r="DC46" s="267"/>
      <c r="DD46" s="267"/>
      <c r="DE46" s="267"/>
      <c r="DF46" s="267"/>
      <c r="DG46" s="267"/>
      <c r="DH46" s="267"/>
      <c r="DI46" s="267"/>
      <c r="DJ46" s="267"/>
      <c r="DK46" s="267"/>
      <c r="DL46" s="267"/>
      <c r="DM46" s="267"/>
      <c r="DN46" s="267"/>
      <c r="DO46" s="267"/>
      <c r="DP46" s="267"/>
      <c r="DQ46" s="267"/>
      <c r="DR46" s="267"/>
      <c r="DS46" s="267"/>
      <c r="DT46" s="267"/>
      <c r="DU46" s="267"/>
      <c r="DV46" s="267"/>
      <c r="DW46" s="267"/>
      <c r="DX46" s="267"/>
      <c r="DY46" s="267"/>
      <c r="DZ46" s="267"/>
      <c r="EA46" s="267"/>
      <c r="EB46" s="267"/>
      <c r="EC46" s="267"/>
      <c r="ED46" s="267"/>
      <c r="EE46" s="267"/>
      <c r="EF46" s="267"/>
      <c r="EG46" s="267"/>
      <c r="EH46" s="267"/>
      <c r="EI46" s="267"/>
      <c r="EJ46" s="267"/>
      <c r="EK46" s="267"/>
      <c r="EL46" s="267"/>
      <c r="EM46" s="267"/>
      <c r="EN46" s="267"/>
      <c r="EO46" s="267"/>
      <c r="EP46" s="267"/>
      <c r="EQ46" s="267"/>
      <c r="ER46" s="267"/>
      <c r="ES46" s="267"/>
      <c r="ET46" s="267"/>
      <c r="EU46" s="267"/>
      <c r="EV46" s="267"/>
      <c r="EW46" s="267"/>
      <c r="EX46" s="267"/>
      <c r="EY46" s="267"/>
      <c r="EZ46" s="267"/>
      <c r="FA46" s="267"/>
      <c r="FB46" s="267"/>
      <c r="FC46" s="267"/>
      <c r="FD46" s="267"/>
      <c r="FE46" s="267"/>
      <c r="FF46" s="267"/>
      <c r="FG46" s="267"/>
      <c r="FH46" s="267"/>
      <c r="FI46" s="267"/>
      <c r="FJ46" s="267"/>
      <c r="FK46" s="267"/>
      <c r="FL46" s="267"/>
      <c r="FM46" s="267"/>
      <c r="FN46" s="267"/>
      <c r="FO46" s="267"/>
      <c r="FP46" s="267"/>
      <c r="FQ46" s="267"/>
      <c r="FR46" s="267"/>
      <c r="FS46" s="267"/>
      <c r="FT46" s="267"/>
      <c r="FU46" s="267"/>
      <c r="FV46" s="267"/>
      <c r="FW46" s="267"/>
      <c r="FX46" s="267"/>
      <c r="FY46" s="267"/>
      <c r="FZ46" s="267"/>
      <c r="GA46" s="267"/>
      <c r="GB46" s="267"/>
      <c r="GC46" s="267"/>
      <c r="GD46" s="267"/>
      <c r="GE46" s="267"/>
      <c r="GF46" s="267"/>
      <c r="GG46" s="267"/>
      <c r="GH46" s="267"/>
      <c r="GI46" s="267"/>
      <c r="GJ46" s="267"/>
    </row>
    <row r="47" spans="2:192" s="3" customFormat="1">
      <c r="B47" s="202"/>
      <c r="C47" s="200"/>
      <c r="D47" s="201"/>
      <c r="E47" s="192"/>
      <c r="F47" s="203"/>
      <c r="G47" s="192"/>
      <c r="H47" s="194"/>
      <c r="I47" s="192"/>
      <c r="J47" s="203"/>
      <c r="K47" s="192"/>
      <c r="L47" s="194"/>
      <c r="M47" s="192"/>
      <c r="N47" s="268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7"/>
      <c r="AK47" s="267"/>
      <c r="AL47" s="267"/>
      <c r="AM47" s="267"/>
      <c r="AN47" s="267"/>
      <c r="AO47" s="267"/>
      <c r="AP47" s="267"/>
      <c r="AQ47" s="267"/>
      <c r="AR47" s="267"/>
      <c r="AS47" s="267"/>
      <c r="AT47" s="267"/>
      <c r="AU47" s="267"/>
      <c r="AV47" s="267"/>
      <c r="AW47" s="267"/>
      <c r="AX47" s="267"/>
      <c r="AY47" s="267"/>
      <c r="AZ47" s="267"/>
      <c r="BA47" s="267"/>
      <c r="BB47" s="267"/>
      <c r="BC47" s="267"/>
      <c r="BD47" s="267"/>
      <c r="BE47" s="267"/>
      <c r="BF47" s="267"/>
      <c r="BG47" s="267"/>
      <c r="BH47" s="267"/>
      <c r="BI47" s="267"/>
      <c r="BJ47" s="267"/>
      <c r="BK47" s="267"/>
      <c r="BL47" s="267"/>
      <c r="BM47" s="267"/>
      <c r="BN47" s="267"/>
      <c r="BO47" s="267"/>
      <c r="BP47" s="267"/>
      <c r="BQ47" s="267"/>
      <c r="BR47" s="267"/>
      <c r="BS47" s="267"/>
      <c r="BT47" s="267"/>
      <c r="BU47" s="267"/>
      <c r="BV47" s="267"/>
      <c r="BW47" s="267"/>
      <c r="BX47" s="267"/>
      <c r="BY47" s="267"/>
      <c r="BZ47" s="267"/>
      <c r="CA47" s="267"/>
      <c r="CB47" s="267"/>
      <c r="CC47" s="267"/>
      <c r="CD47" s="267"/>
      <c r="CE47" s="267"/>
      <c r="CF47" s="267"/>
      <c r="CG47" s="267"/>
      <c r="CH47" s="267"/>
      <c r="CI47" s="267"/>
      <c r="CJ47" s="267"/>
      <c r="CK47" s="267"/>
      <c r="CL47" s="267"/>
      <c r="CM47" s="267"/>
      <c r="CN47" s="267"/>
      <c r="CO47" s="267"/>
      <c r="CP47" s="267"/>
      <c r="CQ47" s="267"/>
      <c r="CR47" s="267"/>
      <c r="CS47" s="267"/>
      <c r="CT47" s="267"/>
      <c r="CU47" s="267"/>
      <c r="CV47" s="267"/>
      <c r="CW47" s="267"/>
      <c r="CX47" s="267"/>
      <c r="CY47" s="267"/>
      <c r="CZ47" s="267"/>
      <c r="DA47" s="267"/>
      <c r="DB47" s="267"/>
      <c r="DC47" s="267"/>
      <c r="DD47" s="267"/>
      <c r="DE47" s="267"/>
      <c r="DF47" s="267"/>
      <c r="DG47" s="267"/>
      <c r="DH47" s="267"/>
      <c r="DI47" s="267"/>
      <c r="DJ47" s="267"/>
      <c r="DK47" s="267"/>
      <c r="DL47" s="267"/>
      <c r="DM47" s="267"/>
      <c r="DN47" s="267"/>
      <c r="DO47" s="267"/>
      <c r="DP47" s="267"/>
      <c r="DQ47" s="267"/>
      <c r="DR47" s="267"/>
      <c r="DS47" s="267"/>
      <c r="DT47" s="267"/>
      <c r="DU47" s="267"/>
      <c r="DV47" s="267"/>
      <c r="DW47" s="267"/>
      <c r="DX47" s="267"/>
      <c r="DY47" s="267"/>
      <c r="DZ47" s="267"/>
      <c r="EA47" s="267"/>
      <c r="EB47" s="267"/>
      <c r="EC47" s="267"/>
      <c r="ED47" s="267"/>
      <c r="EE47" s="267"/>
      <c r="EF47" s="267"/>
      <c r="EG47" s="267"/>
      <c r="EH47" s="267"/>
      <c r="EI47" s="267"/>
      <c r="EJ47" s="267"/>
      <c r="EK47" s="267"/>
      <c r="EL47" s="267"/>
      <c r="EM47" s="267"/>
      <c r="EN47" s="267"/>
      <c r="EO47" s="267"/>
      <c r="EP47" s="267"/>
      <c r="EQ47" s="267"/>
      <c r="ER47" s="267"/>
      <c r="ES47" s="267"/>
      <c r="ET47" s="267"/>
      <c r="EU47" s="267"/>
      <c r="EV47" s="267"/>
      <c r="EW47" s="267"/>
      <c r="EX47" s="267"/>
      <c r="EY47" s="267"/>
      <c r="EZ47" s="267"/>
      <c r="FA47" s="267"/>
      <c r="FB47" s="267"/>
      <c r="FC47" s="267"/>
      <c r="FD47" s="267"/>
      <c r="FE47" s="267"/>
      <c r="FF47" s="267"/>
      <c r="FG47" s="267"/>
      <c r="FH47" s="267"/>
      <c r="FI47" s="267"/>
      <c r="FJ47" s="267"/>
      <c r="FK47" s="267"/>
      <c r="FL47" s="267"/>
      <c r="FM47" s="267"/>
      <c r="FN47" s="267"/>
      <c r="FO47" s="267"/>
      <c r="FP47" s="267"/>
      <c r="FQ47" s="267"/>
      <c r="FR47" s="267"/>
      <c r="FS47" s="267"/>
      <c r="FT47" s="267"/>
      <c r="FU47" s="267"/>
      <c r="FV47" s="267"/>
      <c r="FW47" s="267"/>
      <c r="FX47" s="267"/>
      <c r="FY47" s="267"/>
      <c r="FZ47" s="267"/>
      <c r="GA47" s="267"/>
      <c r="GB47" s="267"/>
      <c r="GC47" s="267"/>
      <c r="GD47" s="267"/>
      <c r="GE47" s="267"/>
      <c r="GF47" s="267"/>
      <c r="GG47" s="267"/>
      <c r="GH47" s="267"/>
      <c r="GI47" s="267"/>
      <c r="GJ47" s="267"/>
    </row>
    <row r="48" spans="2:192" s="3" customFormat="1">
      <c r="B48" s="203" t="s">
        <v>222</v>
      </c>
      <c r="C48" s="206">
        <v>18</v>
      </c>
      <c r="D48" s="194" t="s">
        <v>106</v>
      </c>
      <c r="E48" s="192"/>
      <c r="F48" s="203" t="s">
        <v>222</v>
      </c>
      <c r="G48" s="206">
        <v>12</v>
      </c>
      <c r="H48" s="194" t="s">
        <v>106</v>
      </c>
      <c r="I48" s="192"/>
      <c r="J48" s="203" t="s">
        <v>209</v>
      </c>
      <c r="K48" s="206">
        <v>4</v>
      </c>
      <c r="L48" s="194" t="s">
        <v>106</v>
      </c>
      <c r="M48" s="192"/>
      <c r="N48" s="268"/>
      <c r="O48" s="267"/>
      <c r="P48" s="267"/>
      <c r="Q48" s="267"/>
      <c r="R48" s="267"/>
      <c r="S48" s="267"/>
      <c r="T48" s="267"/>
      <c r="U48" s="267"/>
      <c r="V48" s="267"/>
      <c r="W48" s="267"/>
      <c r="X48" s="267"/>
      <c r="Y48" s="267"/>
      <c r="Z48" s="267"/>
      <c r="AA48" s="267"/>
      <c r="AB48" s="267"/>
      <c r="AC48" s="267"/>
      <c r="AD48" s="267"/>
      <c r="AE48" s="267"/>
      <c r="AF48" s="267"/>
      <c r="AG48" s="267"/>
      <c r="AH48" s="267"/>
      <c r="AI48" s="267"/>
      <c r="AJ48" s="267"/>
      <c r="AK48" s="267"/>
      <c r="AL48" s="267"/>
      <c r="AM48" s="267"/>
      <c r="AN48" s="267"/>
      <c r="AO48" s="267"/>
      <c r="AP48" s="267"/>
      <c r="AQ48" s="267"/>
      <c r="AR48" s="267"/>
      <c r="AS48" s="267"/>
      <c r="AT48" s="267"/>
      <c r="AU48" s="267"/>
      <c r="AV48" s="267"/>
      <c r="AW48" s="267"/>
      <c r="AX48" s="267"/>
      <c r="AY48" s="267"/>
      <c r="AZ48" s="267"/>
      <c r="BA48" s="267"/>
      <c r="BB48" s="267"/>
      <c r="BC48" s="267"/>
      <c r="BD48" s="267"/>
      <c r="BE48" s="267"/>
      <c r="BF48" s="267"/>
      <c r="BG48" s="267"/>
      <c r="BH48" s="267"/>
      <c r="BI48" s="267"/>
      <c r="BJ48" s="267"/>
      <c r="BK48" s="267"/>
      <c r="BL48" s="267"/>
      <c r="BM48" s="267"/>
      <c r="BN48" s="267"/>
      <c r="BO48" s="267"/>
      <c r="BP48" s="267"/>
      <c r="BQ48" s="267"/>
      <c r="BR48" s="267"/>
      <c r="BS48" s="267"/>
      <c r="BT48" s="267"/>
      <c r="BU48" s="267"/>
      <c r="BV48" s="267"/>
      <c r="BW48" s="267"/>
      <c r="BX48" s="267"/>
      <c r="BY48" s="267"/>
      <c r="BZ48" s="267"/>
      <c r="CA48" s="267"/>
      <c r="CB48" s="267"/>
      <c r="CC48" s="267"/>
      <c r="CD48" s="267"/>
      <c r="CE48" s="267"/>
      <c r="CF48" s="267"/>
      <c r="CG48" s="267"/>
      <c r="CH48" s="267"/>
      <c r="CI48" s="267"/>
      <c r="CJ48" s="267"/>
      <c r="CK48" s="267"/>
      <c r="CL48" s="267"/>
      <c r="CM48" s="267"/>
      <c r="CN48" s="267"/>
      <c r="CO48" s="267"/>
      <c r="CP48" s="267"/>
      <c r="CQ48" s="267"/>
      <c r="CR48" s="267"/>
      <c r="CS48" s="267"/>
      <c r="CT48" s="267"/>
      <c r="CU48" s="267"/>
      <c r="CV48" s="267"/>
      <c r="CW48" s="267"/>
      <c r="CX48" s="267"/>
      <c r="CY48" s="267"/>
      <c r="CZ48" s="267"/>
      <c r="DA48" s="267"/>
      <c r="DB48" s="267"/>
      <c r="DC48" s="267"/>
      <c r="DD48" s="267"/>
      <c r="DE48" s="267"/>
      <c r="DF48" s="267"/>
      <c r="DG48" s="267"/>
      <c r="DH48" s="267"/>
      <c r="DI48" s="267"/>
      <c r="DJ48" s="267"/>
      <c r="DK48" s="267"/>
      <c r="DL48" s="267"/>
      <c r="DM48" s="267"/>
      <c r="DN48" s="267"/>
      <c r="DO48" s="267"/>
      <c r="DP48" s="267"/>
      <c r="DQ48" s="267"/>
      <c r="DR48" s="267"/>
      <c r="DS48" s="267"/>
      <c r="DT48" s="267"/>
      <c r="DU48" s="267"/>
      <c r="DV48" s="267"/>
      <c r="DW48" s="267"/>
      <c r="DX48" s="267"/>
      <c r="DY48" s="267"/>
      <c r="DZ48" s="267"/>
      <c r="EA48" s="267"/>
      <c r="EB48" s="267"/>
      <c r="EC48" s="267"/>
      <c r="ED48" s="267"/>
      <c r="EE48" s="267"/>
      <c r="EF48" s="267"/>
      <c r="EG48" s="267"/>
      <c r="EH48" s="267"/>
      <c r="EI48" s="267"/>
      <c r="EJ48" s="267"/>
      <c r="EK48" s="267"/>
      <c r="EL48" s="267"/>
      <c r="EM48" s="267"/>
      <c r="EN48" s="267"/>
      <c r="EO48" s="267"/>
      <c r="EP48" s="267"/>
      <c r="EQ48" s="267"/>
      <c r="ER48" s="267"/>
      <c r="ES48" s="267"/>
      <c r="ET48" s="267"/>
      <c r="EU48" s="267"/>
      <c r="EV48" s="267"/>
      <c r="EW48" s="267"/>
      <c r="EX48" s="267"/>
      <c r="EY48" s="267"/>
      <c r="EZ48" s="267"/>
      <c r="FA48" s="267"/>
      <c r="FB48" s="267"/>
      <c r="FC48" s="267"/>
      <c r="FD48" s="267"/>
      <c r="FE48" s="267"/>
      <c r="FF48" s="267"/>
      <c r="FG48" s="267"/>
      <c r="FH48" s="267"/>
      <c r="FI48" s="267"/>
      <c r="FJ48" s="267"/>
      <c r="FK48" s="267"/>
      <c r="FL48" s="267"/>
      <c r="FM48" s="267"/>
      <c r="FN48" s="267"/>
      <c r="FO48" s="267"/>
      <c r="FP48" s="267"/>
      <c r="FQ48" s="267"/>
      <c r="FR48" s="267"/>
      <c r="FS48" s="267"/>
      <c r="FT48" s="267"/>
      <c r="FU48" s="267"/>
      <c r="FV48" s="267"/>
      <c r="FW48" s="267"/>
      <c r="FX48" s="267"/>
      <c r="FY48" s="267"/>
      <c r="FZ48" s="267"/>
      <c r="GA48" s="267"/>
      <c r="GB48" s="267"/>
      <c r="GC48" s="267"/>
      <c r="GD48" s="267"/>
      <c r="GE48" s="267"/>
      <c r="GF48" s="267"/>
      <c r="GG48" s="267"/>
      <c r="GH48" s="267"/>
      <c r="GI48" s="267"/>
      <c r="GJ48" s="267"/>
    </row>
    <row r="49" spans="2:192" s="3" customFormat="1">
      <c r="B49" s="203"/>
      <c r="C49" s="204"/>
      <c r="D49" s="194"/>
      <c r="E49" s="192"/>
      <c r="F49" s="203"/>
      <c r="G49" s="204"/>
      <c r="H49" s="194"/>
      <c r="I49" s="192"/>
      <c r="J49" s="203"/>
      <c r="K49" s="204"/>
      <c r="L49" s="194"/>
      <c r="M49" s="192"/>
      <c r="N49" s="268"/>
      <c r="O49" s="267"/>
      <c r="P49" s="267"/>
      <c r="Q49" s="267"/>
      <c r="R49" s="267"/>
      <c r="S49" s="267"/>
      <c r="T49" s="267"/>
      <c r="U49" s="267"/>
      <c r="V49" s="267"/>
      <c r="W49" s="267"/>
      <c r="X49" s="267"/>
      <c r="Y49" s="267"/>
      <c r="Z49" s="267"/>
      <c r="AA49" s="267"/>
      <c r="AB49" s="267"/>
      <c r="AC49" s="267"/>
      <c r="AD49" s="267"/>
      <c r="AE49" s="267"/>
      <c r="AF49" s="267"/>
      <c r="AG49" s="267"/>
      <c r="AH49" s="267"/>
      <c r="AI49" s="267"/>
      <c r="AJ49" s="267"/>
      <c r="AK49" s="267"/>
      <c r="AL49" s="267"/>
      <c r="AM49" s="267"/>
      <c r="AN49" s="267"/>
      <c r="AO49" s="267"/>
      <c r="AP49" s="267"/>
      <c r="AQ49" s="267"/>
      <c r="AR49" s="267"/>
      <c r="AS49" s="267"/>
      <c r="AT49" s="267"/>
      <c r="AU49" s="267"/>
      <c r="AV49" s="267"/>
      <c r="AW49" s="267"/>
      <c r="AX49" s="267"/>
      <c r="AY49" s="267"/>
      <c r="AZ49" s="267"/>
      <c r="BA49" s="267"/>
      <c r="BB49" s="267"/>
      <c r="BC49" s="267"/>
      <c r="BD49" s="267"/>
      <c r="BE49" s="267"/>
      <c r="BF49" s="267"/>
      <c r="BG49" s="267"/>
      <c r="BH49" s="267"/>
      <c r="BI49" s="267"/>
      <c r="BJ49" s="267"/>
      <c r="BK49" s="267"/>
      <c r="BL49" s="267"/>
      <c r="BM49" s="267"/>
      <c r="BN49" s="267"/>
      <c r="BO49" s="267"/>
      <c r="BP49" s="267"/>
      <c r="BQ49" s="267"/>
      <c r="BR49" s="267"/>
      <c r="BS49" s="267"/>
      <c r="BT49" s="267"/>
      <c r="BU49" s="267"/>
      <c r="BV49" s="267"/>
      <c r="BW49" s="267"/>
      <c r="BX49" s="267"/>
      <c r="BY49" s="267"/>
      <c r="BZ49" s="267"/>
      <c r="CA49" s="267"/>
      <c r="CB49" s="267"/>
      <c r="CC49" s="267"/>
      <c r="CD49" s="267"/>
      <c r="CE49" s="267"/>
      <c r="CF49" s="267"/>
      <c r="CG49" s="267"/>
      <c r="CH49" s="267"/>
      <c r="CI49" s="267"/>
      <c r="CJ49" s="267"/>
      <c r="CK49" s="267"/>
      <c r="CL49" s="267"/>
      <c r="CM49" s="267"/>
      <c r="CN49" s="267"/>
      <c r="CO49" s="267"/>
      <c r="CP49" s="267"/>
      <c r="CQ49" s="267"/>
      <c r="CR49" s="267"/>
      <c r="CS49" s="267"/>
      <c r="CT49" s="267"/>
      <c r="CU49" s="267"/>
      <c r="CV49" s="267"/>
      <c r="CW49" s="267"/>
      <c r="CX49" s="267"/>
      <c r="CY49" s="267"/>
      <c r="CZ49" s="267"/>
      <c r="DA49" s="267"/>
      <c r="DB49" s="267"/>
      <c r="DC49" s="267"/>
      <c r="DD49" s="267"/>
      <c r="DE49" s="267"/>
      <c r="DF49" s="267"/>
      <c r="DG49" s="267"/>
      <c r="DH49" s="267"/>
      <c r="DI49" s="267"/>
      <c r="DJ49" s="267"/>
      <c r="DK49" s="267"/>
      <c r="DL49" s="267"/>
      <c r="DM49" s="267"/>
      <c r="DN49" s="267"/>
      <c r="DO49" s="267"/>
      <c r="DP49" s="267"/>
      <c r="DQ49" s="267"/>
      <c r="DR49" s="267"/>
      <c r="DS49" s="267"/>
      <c r="DT49" s="267"/>
      <c r="DU49" s="267"/>
      <c r="DV49" s="267"/>
      <c r="DW49" s="267"/>
      <c r="DX49" s="267"/>
      <c r="DY49" s="267"/>
      <c r="DZ49" s="267"/>
      <c r="EA49" s="267"/>
      <c r="EB49" s="267"/>
      <c r="EC49" s="267"/>
      <c r="ED49" s="267"/>
      <c r="EE49" s="267"/>
      <c r="EF49" s="267"/>
      <c r="EG49" s="267"/>
      <c r="EH49" s="267"/>
      <c r="EI49" s="267"/>
      <c r="EJ49" s="267"/>
      <c r="EK49" s="267"/>
      <c r="EL49" s="267"/>
      <c r="EM49" s="267"/>
      <c r="EN49" s="267"/>
      <c r="EO49" s="267"/>
      <c r="EP49" s="267"/>
      <c r="EQ49" s="267"/>
      <c r="ER49" s="267"/>
      <c r="ES49" s="267"/>
      <c r="ET49" s="267"/>
      <c r="EU49" s="267"/>
      <c r="EV49" s="267"/>
      <c r="EW49" s="267"/>
      <c r="EX49" s="267"/>
      <c r="EY49" s="267"/>
      <c r="EZ49" s="267"/>
      <c r="FA49" s="267"/>
      <c r="FB49" s="267"/>
      <c r="FC49" s="267"/>
      <c r="FD49" s="267"/>
      <c r="FE49" s="267"/>
      <c r="FF49" s="267"/>
      <c r="FG49" s="267"/>
      <c r="FH49" s="267"/>
      <c r="FI49" s="267"/>
      <c r="FJ49" s="267"/>
      <c r="FK49" s="267"/>
      <c r="FL49" s="267"/>
      <c r="FM49" s="267"/>
      <c r="FN49" s="267"/>
      <c r="FO49" s="267"/>
      <c r="FP49" s="267"/>
      <c r="FQ49" s="267"/>
      <c r="FR49" s="267"/>
      <c r="FS49" s="267"/>
      <c r="FT49" s="267"/>
      <c r="FU49" s="267"/>
      <c r="FV49" s="267"/>
      <c r="FW49" s="267"/>
      <c r="FX49" s="267"/>
      <c r="FY49" s="267"/>
      <c r="FZ49" s="267"/>
      <c r="GA49" s="267"/>
      <c r="GB49" s="267"/>
      <c r="GC49" s="267"/>
      <c r="GD49" s="267"/>
      <c r="GE49" s="267"/>
      <c r="GF49" s="267"/>
      <c r="GG49" s="267"/>
      <c r="GH49" s="267"/>
      <c r="GI49" s="267"/>
      <c r="GJ49" s="267"/>
    </row>
    <row r="50" spans="2:192" s="3" customFormat="1">
      <c r="B50" s="203" t="s">
        <v>204</v>
      </c>
      <c r="C50" s="206">
        <f>'Erfassung Daten'!L13/Lagerstätten!K12</f>
        <v>4.3992508337863283</v>
      </c>
      <c r="D50" s="194" t="s">
        <v>210</v>
      </c>
      <c r="E50" s="192"/>
      <c r="F50" s="203" t="s">
        <v>204</v>
      </c>
      <c r="G50" s="206">
        <f>'Erfassung Daten'!L12/Lagerstätten!K12</f>
        <v>6.0823064403627054</v>
      </c>
      <c r="H50" s="194" t="s">
        <v>210</v>
      </c>
      <c r="I50" s="192"/>
      <c r="J50" s="203" t="s">
        <v>204</v>
      </c>
      <c r="K50" s="206">
        <f>'Erfassung Daten'!L10/Lagerstätten!K12*1000</f>
        <v>967.47916042780753</v>
      </c>
      <c r="L50" s="194" t="s">
        <v>211</v>
      </c>
      <c r="M50" s="192"/>
      <c r="N50" s="268"/>
      <c r="O50" s="267"/>
      <c r="P50" s="267"/>
      <c r="Q50" s="267"/>
      <c r="R50" s="267"/>
      <c r="S50" s="267"/>
      <c r="T50" s="267"/>
      <c r="U50" s="267"/>
      <c r="V50" s="267"/>
      <c r="W50" s="267"/>
      <c r="X50" s="267"/>
      <c r="Y50" s="267"/>
      <c r="Z50" s="267"/>
      <c r="AA50" s="267"/>
      <c r="AB50" s="267"/>
      <c r="AC50" s="267"/>
      <c r="AD50" s="267"/>
      <c r="AE50" s="267"/>
      <c r="AF50" s="267"/>
      <c r="AG50" s="267"/>
      <c r="AH50" s="267"/>
      <c r="AI50" s="267"/>
      <c r="AJ50" s="267"/>
      <c r="AK50" s="267"/>
      <c r="AL50" s="267"/>
      <c r="AM50" s="267"/>
      <c r="AN50" s="267"/>
      <c r="AO50" s="267"/>
      <c r="AP50" s="267"/>
      <c r="AQ50" s="267"/>
      <c r="AR50" s="267"/>
      <c r="AS50" s="267"/>
      <c r="AT50" s="267"/>
      <c r="AU50" s="267"/>
      <c r="AV50" s="267"/>
      <c r="AW50" s="267"/>
      <c r="AX50" s="267"/>
      <c r="AY50" s="267"/>
      <c r="AZ50" s="267"/>
      <c r="BA50" s="267"/>
      <c r="BB50" s="267"/>
      <c r="BC50" s="267"/>
      <c r="BD50" s="267"/>
      <c r="BE50" s="267"/>
      <c r="BF50" s="267"/>
      <c r="BG50" s="267"/>
      <c r="BH50" s="267"/>
      <c r="BI50" s="267"/>
      <c r="BJ50" s="267"/>
      <c r="BK50" s="267"/>
      <c r="BL50" s="267"/>
      <c r="BM50" s="267"/>
      <c r="BN50" s="267"/>
      <c r="BO50" s="267"/>
      <c r="BP50" s="267"/>
      <c r="BQ50" s="267"/>
      <c r="BR50" s="267"/>
      <c r="BS50" s="267"/>
      <c r="BT50" s="267"/>
      <c r="BU50" s="267"/>
      <c r="BV50" s="267"/>
      <c r="BW50" s="267"/>
      <c r="BX50" s="267"/>
      <c r="BY50" s="267"/>
      <c r="BZ50" s="267"/>
      <c r="CA50" s="267"/>
      <c r="CB50" s="267"/>
      <c r="CC50" s="267"/>
      <c r="CD50" s="267"/>
      <c r="CE50" s="267"/>
      <c r="CF50" s="267"/>
      <c r="CG50" s="267"/>
      <c r="CH50" s="267"/>
      <c r="CI50" s="267"/>
      <c r="CJ50" s="267"/>
      <c r="CK50" s="267"/>
      <c r="CL50" s="267"/>
      <c r="CM50" s="267"/>
      <c r="CN50" s="267"/>
      <c r="CO50" s="267"/>
      <c r="CP50" s="267"/>
      <c r="CQ50" s="267"/>
      <c r="CR50" s="267"/>
      <c r="CS50" s="267"/>
      <c r="CT50" s="267"/>
      <c r="CU50" s="267"/>
      <c r="CV50" s="267"/>
      <c r="CW50" s="267"/>
      <c r="CX50" s="267"/>
      <c r="CY50" s="267"/>
      <c r="CZ50" s="267"/>
      <c r="DA50" s="267"/>
      <c r="DB50" s="267"/>
      <c r="DC50" s="267"/>
      <c r="DD50" s="267"/>
      <c r="DE50" s="267"/>
      <c r="DF50" s="267"/>
      <c r="DG50" s="267"/>
      <c r="DH50" s="267"/>
      <c r="DI50" s="267"/>
      <c r="DJ50" s="267"/>
      <c r="DK50" s="267"/>
      <c r="DL50" s="267"/>
      <c r="DM50" s="267"/>
      <c r="DN50" s="267"/>
      <c r="DO50" s="267"/>
      <c r="DP50" s="267"/>
      <c r="DQ50" s="267"/>
      <c r="DR50" s="267"/>
      <c r="DS50" s="267"/>
      <c r="DT50" s="267"/>
      <c r="DU50" s="267"/>
      <c r="DV50" s="267"/>
      <c r="DW50" s="267"/>
      <c r="DX50" s="267"/>
      <c r="DY50" s="267"/>
      <c r="DZ50" s="267"/>
      <c r="EA50" s="267"/>
      <c r="EB50" s="267"/>
      <c r="EC50" s="267"/>
      <c r="ED50" s="267"/>
      <c r="EE50" s="267"/>
      <c r="EF50" s="267"/>
      <c r="EG50" s="267"/>
      <c r="EH50" s="267"/>
      <c r="EI50" s="267"/>
      <c r="EJ50" s="267"/>
      <c r="EK50" s="267"/>
      <c r="EL50" s="267"/>
      <c r="EM50" s="267"/>
      <c r="EN50" s="267"/>
      <c r="EO50" s="267"/>
      <c r="EP50" s="267"/>
      <c r="EQ50" s="267"/>
      <c r="ER50" s="267"/>
      <c r="ES50" s="267"/>
      <c r="ET50" s="267"/>
      <c r="EU50" s="267"/>
      <c r="EV50" s="267"/>
      <c r="EW50" s="267"/>
      <c r="EX50" s="267"/>
      <c r="EY50" s="267"/>
      <c r="EZ50" s="267"/>
      <c r="FA50" s="267"/>
      <c r="FB50" s="267"/>
      <c r="FC50" s="267"/>
      <c r="FD50" s="267"/>
      <c r="FE50" s="267"/>
      <c r="FF50" s="267"/>
      <c r="FG50" s="267"/>
      <c r="FH50" s="267"/>
      <c r="FI50" s="267"/>
      <c r="FJ50" s="267"/>
      <c r="FK50" s="267"/>
      <c r="FL50" s="267"/>
      <c r="FM50" s="267"/>
      <c r="FN50" s="267"/>
      <c r="FO50" s="267"/>
      <c r="FP50" s="267"/>
      <c r="FQ50" s="267"/>
      <c r="FR50" s="267"/>
      <c r="FS50" s="267"/>
      <c r="FT50" s="267"/>
      <c r="FU50" s="267"/>
      <c r="FV50" s="267"/>
      <c r="FW50" s="267"/>
      <c r="FX50" s="267"/>
      <c r="FY50" s="267"/>
      <c r="FZ50" s="267"/>
      <c r="GA50" s="267"/>
      <c r="GB50" s="267"/>
      <c r="GC50" s="267"/>
      <c r="GD50" s="267"/>
      <c r="GE50" s="267"/>
      <c r="GF50" s="267"/>
      <c r="GG50" s="267"/>
      <c r="GH50" s="267"/>
      <c r="GI50" s="267"/>
      <c r="GJ50" s="267"/>
    </row>
    <row r="51" spans="2:192" s="3" customFormat="1">
      <c r="B51" s="203"/>
      <c r="C51" s="257"/>
      <c r="D51" s="250"/>
      <c r="E51" s="192"/>
      <c r="F51" s="203"/>
      <c r="G51" s="257"/>
      <c r="H51" s="250"/>
      <c r="I51" s="192"/>
      <c r="J51" s="203"/>
      <c r="K51" s="257"/>
      <c r="L51" s="250"/>
      <c r="M51" s="192"/>
      <c r="N51" s="268"/>
      <c r="O51" s="267"/>
      <c r="P51" s="267"/>
      <c r="Q51" s="267"/>
      <c r="R51" s="267"/>
      <c r="S51" s="267"/>
      <c r="T51" s="267"/>
      <c r="U51" s="267"/>
      <c r="V51" s="267"/>
      <c r="W51" s="267"/>
      <c r="X51" s="267"/>
      <c r="Y51" s="267"/>
      <c r="Z51" s="267"/>
      <c r="AA51" s="267"/>
      <c r="AB51" s="267"/>
      <c r="AC51" s="267"/>
      <c r="AD51" s="267"/>
      <c r="AE51" s="267"/>
      <c r="AF51" s="267"/>
      <c r="AG51" s="267"/>
      <c r="AH51" s="267"/>
      <c r="AI51" s="267"/>
      <c r="AJ51" s="267"/>
      <c r="AK51" s="267"/>
      <c r="AL51" s="267"/>
      <c r="AM51" s="267"/>
      <c r="AN51" s="267"/>
      <c r="AO51" s="267"/>
      <c r="AP51" s="267"/>
      <c r="AQ51" s="267"/>
      <c r="AR51" s="267"/>
      <c r="AS51" s="267"/>
      <c r="AT51" s="267"/>
      <c r="AU51" s="267"/>
      <c r="AV51" s="267"/>
      <c r="AW51" s="267"/>
      <c r="AX51" s="267"/>
      <c r="AY51" s="267"/>
      <c r="AZ51" s="267"/>
      <c r="BA51" s="267"/>
      <c r="BB51" s="267"/>
      <c r="BC51" s="267"/>
      <c r="BD51" s="267"/>
      <c r="BE51" s="267"/>
      <c r="BF51" s="267"/>
      <c r="BG51" s="267"/>
      <c r="BH51" s="267"/>
      <c r="BI51" s="267"/>
      <c r="BJ51" s="267"/>
      <c r="BK51" s="267"/>
      <c r="BL51" s="267"/>
      <c r="BM51" s="267"/>
      <c r="BN51" s="267"/>
      <c r="BO51" s="267"/>
      <c r="BP51" s="267"/>
      <c r="BQ51" s="267"/>
      <c r="BR51" s="267"/>
      <c r="BS51" s="267"/>
      <c r="BT51" s="267"/>
      <c r="BU51" s="267"/>
      <c r="BV51" s="267"/>
      <c r="BW51" s="267"/>
      <c r="BX51" s="267"/>
      <c r="BY51" s="267"/>
      <c r="BZ51" s="267"/>
      <c r="CA51" s="267"/>
      <c r="CB51" s="267"/>
      <c r="CC51" s="267"/>
      <c r="CD51" s="267"/>
      <c r="CE51" s="267"/>
      <c r="CF51" s="267"/>
      <c r="CG51" s="267"/>
      <c r="CH51" s="267"/>
      <c r="CI51" s="267"/>
      <c r="CJ51" s="267"/>
      <c r="CK51" s="267"/>
      <c r="CL51" s="267"/>
      <c r="CM51" s="267"/>
      <c r="CN51" s="267"/>
      <c r="CO51" s="267"/>
      <c r="CP51" s="267"/>
      <c r="CQ51" s="267"/>
      <c r="CR51" s="267"/>
      <c r="CS51" s="267"/>
      <c r="CT51" s="267"/>
      <c r="CU51" s="267"/>
      <c r="CV51" s="267"/>
      <c r="CW51" s="267"/>
      <c r="CX51" s="267"/>
      <c r="CY51" s="267"/>
      <c r="CZ51" s="267"/>
      <c r="DA51" s="267"/>
      <c r="DB51" s="267"/>
      <c r="DC51" s="267"/>
      <c r="DD51" s="267"/>
      <c r="DE51" s="267"/>
      <c r="DF51" s="267"/>
      <c r="DG51" s="267"/>
      <c r="DH51" s="267"/>
      <c r="DI51" s="267"/>
      <c r="DJ51" s="267"/>
      <c r="DK51" s="267"/>
      <c r="DL51" s="267"/>
      <c r="DM51" s="267"/>
      <c r="DN51" s="267"/>
      <c r="DO51" s="267"/>
      <c r="DP51" s="267"/>
      <c r="DQ51" s="267"/>
      <c r="DR51" s="267"/>
      <c r="DS51" s="267"/>
      <c r="DT51" s="267"/>
      <c r="DU51" s="267"/>
      <c r="DV51" s="267"/>
      <c r="DW51" s="267"/>
      <c r="DX51" s="267"/>
      <c r="DY51" s="267"/>
      <c r="DZ51" s="267"/>
      <c r="EA51" s="267"/>
      <c r="EB51" s="267"/>
      <c r="EC51" s="267"/>
      <c r="ED51" s="267"/>
      <c r="EE51" s="267"/>
      <c r="EF51" s="267"/>
      <c r="EG51" s="267"/>
      <c r="EH51" s="267"/>
      <c r="EI51" s="267"/>
      <c r="EJ51" s="267"/>
      <c r="EK51" s="267"/>
      <c r="EL51" s="267"/>
      <c r="EM51" s="267"/>
      <c r="EN51" s="267"/>
      <c r="EO51" s="267"/>
      <c r="EP51" s="267"/>
      <c r="EQ51" s="267"/>
      <c r="ER51" s="267"/>
      <c r="ES51" s="267"/>
      <c r="ET51" s="267"/>
      <c r="EU51" s="267"/>
      <c r="EV51" s="267"/>
      <c r="EW51" s="267"/>
      <c r="EX51" s="267"/>
      <c r="EY51" s="267"/>
      <c r="EZ51" s="267"/>
      <c r="FA51" s="267"/>
      <c r="FB51" s="267"/>
      <c r="FC51" s="267"/>
      <c r="FD51" s="267"/>
      <c r="FE51" s="267"/>
      <c r="FF51" s="267"/>
      <c r="FG51" s="267"/>
      <c r="FH51" s="267"/>
      <c r="FI51" s="267"/>
      <c r="FJ51" s="267"/>
      <c r="FK51" s="267"/>
      <c r="FL51" s="267"/>
      <c r="FM51" s="267"/>
      <c r="FN51" s="267"/>
      <c r="FO51" s="267"/>
      <c r="FP51" s="267"/>
      <c r="FQ51" s="267"/>
      <c r="FR51" s="267"/>
      <c r="FS51" s="267"/>
      <c r="FT51" s="267"/>
      <c r="FU51" s="267"/>
      <c r="FV51" s="267"/>
      <c r="FW51" s="267"/>
      <c r="FX51" s="267"/>
      <c r="FY51" s="267"/>
      <c r="FZ51" s="267"/>
      <c r="GA51" s="267"/>
      <c r="GB51" s="267"/>
      <c r="GC51" s="267"/>
      <c r="GD51" s="267"/>
      <c r="GE51" s="267"/>
      <c r="GF51" s="267"/>
      <c r="GG51" s="267"/>
      <c r="GH51" s="267"/>
      <c r="GI51" s="267"/>
      <c r="GJ51" s="267"/>
    </row>
    <row r="52" spans="2:192" s="3" customFormat="1">
      <c r="B52" s="203" t="s">
        <v>204</v>
      </c>
      <c r="C52" s="206">
        <f>+$C$50*($K$8+100)/100</f>
        <v>4.9271609338406872</v>
      </c>
      <c r="D52" s="259" t="s">
        <v>210</v>
      </c>
      <c r="E52" s="192"/>
      <c r="F52" s="203" t="s">
        <v>212</v>
      </c>
      <c r="G52" s="206">
        <f>+$G$50*($K$8+100)/100</f>
        <v>6.8121832132062297</v>
      </c>
      <c r="H52" s="259" t="s">
        <v>210</v>
      </c>
      <c r="I52" s="192"/>
      <c r="J52" s="203" t="s">
        <v>212</v>
      </c>
      <c r="K52" s="206">
        <f>+$K$50*($K$8+100)/100</f>
        <v>1083.5766596791445</v>
      </c>
      <c r="L52" s="259" t="s">
        <v>211</v>
      </c>
      <c r="M52" s="192"/>
      <c r="N52" s="268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7"/>
      <c r="AH52" s="267"/>
      <c r="AI52" s="267"/>
      <c r="AJ52" s="267"/>
      <c r="AK52" s="267"/>
      <c r="AL52" s="267"/>
      <c r="AM52" s="267"/>
      <c r="AN52" s="267"/>
      <c r="AO52" s="267"/>
      <c r="AP52" s="267"/>
      <c r="AQ52" s="267"/>
      <c r="AR52" s="267"/>
      <c r="AS52" s="267"/>
      <c r="AT52" s="267"/>
      <c r="AU52" s="267"/>
      <c r="AV52" s="267"/>
      <c r="AW52" s="267"/>
      <c r="AX52" s="267"/>
      <c r="AY52" s="267"/>
      <c r="AZ52" s="267"/>
      <c r="BA52" s="267"/>
      <c r="BB52" s="267"/>
      <c r="BC52" s="267"/>
      <c r="BD52" s="267"/>
      <c r="BE52" s="267"/>
      <c r="BF52" s="267"/>
      <c r="BG52" s="267"/>
      <c r="BH52" s="267"/>
      <c r="BI52" s="267"/>
      <c r="BJ52" s="267"/>
      <c r="BK52" s="267"/>
      <c r="BL52" s="267"/>
      <c r="BM52" s="267"/>
      <c r="BN52" s="267"/>
      <c r="BO52" s="267"/>
      <c r="BP52" s="267"/>
      <c r="BQ52" s="267"/>
      <c r="BR52" s="267"/>
      <c r="BS52" s="267"/>
      <c r="BT52" s="267"/>
      <c r="BU52" s="267"/>
      <c r="BV52" s="267"/>
      <c r="BW52" s="267"/>
      <c r="BX52" s="267"/>
      <c r="BY52" s="267"/>
      <c r="BZ52" s="267"/>
      <c r="CA52" s="267"/>
      <c r="CB52" s="267"/>
      <c r="CC52" s="267"/>
      <c r="CD52" s="267"/>
      <c r="CE52" s="267"/>
      <c r="CF52" s="267"/>
      <c r="CG52" s="267"/>
      <c r="CH52" s="267"/>
      <c r="CI52" s="267"/>
      <c r="CJ52" s="267"/>
      <c r="CK52" s="267"/>
      <c r="CL52" s="267"/>
      <c r="CM52" s="267"/>
      <c r="CN52" s="267"/>
      <c r="CO52" s="267"/>
      <c r="CP52" s="267"/>
      <c r="CQ52" s="267"/>
      <c r="CR52" s="267"/>
      <c r="CS52" s="267"/>
      <c r="CT52" s="267"/>
      <c r="CU52" s="267"/>
      <c r="CV52" s="267"/>
      <c r="CW52" s="267"/>
      <c r="CX52" s="267"/>
      <c r="CY52" s="267"/>
      <c r="CZ52" s="267"/>
      <c r="DA52" s="267"/>
      <c r="DB52" s="267"/>
      <c r="DC52" s="267"/>
      <c r="DD52" s="267"/>
      <c r="DE52" s="267"/>
      <c r="DF52" s="267"/>
      <c r="DG52" s="267"/>
      <c r="DH52" s="267"/>
      <c r="DI52" s="267"/>
      <c r="DJ52" s="267"/>
      <c r="DK52" s="267"/>
      <c r="DL52" s="267"/>
      <c r="DM52" s="267"/>
      <c r="DN52" s="267"/>
      <c r="DO52" s="267"/>
      <c r="DP52" s="267"/>
      <c r="DQ52" s="267"/>
      <c r="DR52" s="267"/>
      <c r="DS52" s="267"/>
      <c r="DT52" s="267"/>
      <c r="DU52" s="267"/>
      <c r="DV52" s="267"/>
      <c r="DW52" s="267"/>
      <c r="DX52" s="267"/>
      <c r="DY52" s="267"/>
      <c r="DZ52" s="267"/>
      <c r="EA52" s="267"/>
      <c r="EB52" s="267"/>
      <c r="EC52" s="267"/>
      <c r="ED52" s="267"/>
      <c r="EE52" s="267"/>
      <c r="EF52" s="267"/>
      <c r="EG52" s="267"/>
      <c r="EH52" s="267"/>
      <c r="EI52" s="267"/>
      <c r="EJ52" s="267"/>
      <c r="EK52" s="267"/>
      <c r="EL52" s="267"/>
      <c r="EM52" s="267"/>
      <c r="EN52" s="267"/>
      <c r="EO52" s="267"/>
      <c r="EP52" s="267"/>
      <c r="EQ52" s="267"/>
      <c r="ER52" s="267"/>
      <c r="ES52" s="267"/>
      <c r="ET52" s="267"/>
      <c r="EU52" s="267"/>
      <c r="EV52" s="267"/>
      <c r="EW52" s="267"/>
      <c r="EX52" s="267"/>
      <c r="EY52" s="267"/>
      <c r="EZ52" s="267"/>
      <c r="FA52" s="267"/>
      <c r="FB52" s="267"/>
      <c r="FC52" s="267"/>
      <c r="FD52" s="267"/>
      <c r="FE52" s="267"/>
      <c r="FF52" s="267"/>
      <c r="FG52" s="267"/>
      <c r="FH52" s="267"/>
      <c r="FI52" s="267"/>
      <c r="FJ52" s="267"/>
      <c r="FK52" s="267"/>
      <c r="FL52" s="267"/>
      <c r="FM52" s="267"/>
      <c r="FN52" s="267"/>
      <c r="FO52" s="267"/>
      <c r="FP52" s="267"/>
      <c r="FQ52" s="267"/>
      <c r="FR52" s="267"/>
      <c r="FS52" s="267"/>
      <c r="FT52" s="267"/>
      <c r="FU52" s="267"/>
      <c r="FV52" s="267"/>
      <c r="FW52" s="267"/>
      <c r="FX52" s="267"/>
      <c r="FY52" s="267"/>
      <c r="FZ52" s="267"/>
      <c r="GA52" s="267"/>
      <c r="GB52" s="267"/>
      <c r="GC52" s="267"/>
      <c r="GD52" s="267"/>
      <c r="GE52" s="267"/>
      <c r="GF52" s="267"/>
      <c r="GG52" s="267"/>
      <c r="GH52" s="267"/>
      <c r="GI52" s="267"/>
      <c r="GJ52" s="267"/>
    </row>
    <row r="53" spans="2:192" s="3" customFormat="1">
      <c r="B53" s="203" t="s">
        <v>207</v>
      </c>
      <c r="C53" s="258"/>
      <c r="D53" s="194"/>
      <c r="E53" s="192"/>
      <c r="F53" s="203" t="s">
        <v>207</v>
      </c>
      <c r="G53" s="258"/>
      <c r="H53" s="194"/>
      <c r="I53" s="192"/>
      <c r="J53" s="203" t="s">
        <v>207</v>
      </c>
      <c r="K53" s="258"/>
      <c r="L53" s="194"/>
      <c r="M53" s="192"/>
      <c r="N53" s="268"/>
      <c r="O53" s="267"/>
      <c r="P53" s="267"/>
      <c r="Q53" s="267"/>
      <c r="R53" s="267"/>
      <c r="S53" s="267"/>
      <c r="T53" s="267"/>
      <c r="U53" s="267"/>
      <c r="V53" s="267"/>
      <c r="W53" s="267"/>
      <c r="X53" s="267"/>
      <c r="Y53" s="267"/>
      <c r="Z53" s="267"/>
      <c r="AA53" s="267"/>
      <c r="AB53" s="267"/>
      <c r="AC53" s="267"/>
      <c r="AD53" s="267"/>
      <c r="AE53" s="267"/>
      <c r="AF53" s="267"/>
      <c r="AG53" s="267"/>
      <c r="AH53" s="267"/>
      <c r="AI53" s="267"/>
      <c r="AJ53" s="267"/>
      <c r="AK53" s="267"/>
      <c r="AL53" s="267"/>
      <c r="AM53" s="267"/>
      <c r="AN53" s="267"/>
      <c r="AO53" s="267"/>
      <c r="AP53" s="267"/>
      <c r="AQ53" s="267"/>
      <c r="AR53" s="267"/>
      <c r="AS53" s="267"/>
      <c r="AT53" s="267"/>
      <c r="AU53" s="267"/>
      <c r="AV53" s="267"/>
      <c r="AW53" s="267"/>
      <c r="AX53" s="267"/>
      <c r="AY53" s="267"/>
      <c r="AZ53" s="267"/>
      <c r="BA53" s="267"/>
      <c r="BB53" s="267"/>
      <c r="BC53" s="267"/>
      <c r="BD53" s="267"/>
      <c r="BE53" s="267"/>
      <c r="BF53" s="267"/>
      <c r="BG53" s="267"/>
      <c r="BH53" s="267"/>
      <c r="BI53" s="267"/>
      <c r="BJ53" s="267"/>
      <c r="BK53" s="267"/>
      <c r="BL53" s="267"/>
      <c r="BM53" s="267"/>
      <c r="BN53" s="267"/>
      <c r="BO53" s="267"/>
      <c r="BP53" s="267"/>
      <c r="BQ53" s="267"/>
      <c r="BR53" s="267"/>
      <c r="BS53" s="267"/>
      <c r="BT53" s="267"/>
      <c r="BU53" s="267"/>
      <c r="BV53" s="267"/>
      <c r="BW53" s="267"/>
      <c r="BX53" s="267"/>
      <c r="BY53" s="267"/>
      <c r="BZ53" s="267"/>
      <c r="CA53" s="267"/>
      <c r="CB53" s="267"/>
      <c r="CC53" s="267"/>
      <c r="CD53" s="267"/>
      <c r="CE53" s="267"/>
      <c r="CF53" s="267"/>
      <c r="CG53" s="267"/>
      <c r="CH53" s="267"/>
      <c r="CI53" s="267"/>
      <c r="CJ53" s="267"/>
      <c r="CK53" s="267"/>
      <c r="CL53" s="267"/>
      <c r="CM53" s="267"/>
      <c r="CN53" s="267"/>
      <c r="CO53" s="267"/>
      <c r="CP53" s="267"/>
      <c r="CQ53" s="267"/>
      <c r="CR53" s="267"/>
      <c r="CS53" s="267"/>
      <c r="CT53" s="267"/>
      <c r="CU53" s="267"/>
      <c r="CV53" s="267"/>
      <c r="CW53" s="267"/>
      <c r="CX53" s="267"/>
      <c r="CY53" s="267"/>
      <c r="CZ53" s="267"/>
      <c r="DA53" s="267"/>
      <c r="DB53" s="267"/>
      <c r="DC53" s="267"/>
      <c r="DD53" s="267"/>
      <c r="DE53" s="267"/>
      <c r="DF53" s="267"/>
      <c r="DG53" s="267"/>
      <c r="DH53" s="267"/>
      <c r="DI53" s="267"/>
      <c r="DJ53" s="267"/>
      <c r="DK53" s="267"/>
      <c r="DL53" s="267"/>
      <c r="DM53" s="267"/>
      <c r="DN53" s="267"/>
      <c r="DO53" s="267"/>
      <c r="DP53" s="267"/>
      <c r="DQ53" s="267"/>
      <c r="DR53" s="267"/>
      <c r="DS53" s="267"/>
      <c r="DT53" s="267"/>
      <c r="DU53" s="267"/>
      <c r="DV53" s="267"/>
      <c r="DW53" s="267"/>
      <c r="DX53" s="267"/>
      <c r="DY53" s="267"/>
      <c r="DZ53" s="267"/>
      <c r="EA53" s="267"/>
      <c r="EB53" s="267"/>
      <c r="EC53" s="267"/>
      <c r="ED53" s="267"/>
      <c r="EE53" s="267"/>
      <c r="EF53" s="267"/>
      <c r="EG53" s="267"/>
      <c r="EH53" s="267"/>
      <c r="EI53" s="267"/>
      <c r="EJ53" s="267"/>
      <c r="EK53" s="267"/>
      <c r="EL53" s="267"/>
      <c r="EM53" s="267"/>
      <c r="EN53" s="267"/>
      <c r="EO53" s="267"/>
      <c r="EP53" s="267"/>
      <c r="EQ53" s="267"/>
      <c r="ER53" s="267"/>
      <c r="ES53" s="267"/>
      <c r="ET53" s="267"/>
      <c r="EU53" s="267"/>
      <c r="EV53" s="267"/>
      <c r="EW53" s="267"/>
      <c r="EX53" s="267"/>
      <c r="EY53" s="267"/>
      <c r="EZ53" s="267"/>
      <c r="FA53" s="267"/>
      <c r="FB53" s="267"/>
      <c r="FC53" s="267"/>
      <c r="FD53" s="267"/>
      <c r="FE53" s="267"/>
      <c r="FF53" s="267"/>
      <c r="FG53" s="267"/>
      <c r="FH53" s="267"/>
      <c r="FI53" s="267"/>
      <c r="FJ53" s="267"/>
      <c r="FK53" s="267"/>
      <c r="FL53" s="267"/>
      <c r="FM53" s="267"/>
      <c r="FN53" s="267"/>
      <c r="FO53" s="267"/>
      <c r="FP53" s="267"/>
      <c r="FQ53" s="267"/>
      <c r="FR53" s="267"/>
      <c r="FS53" s="267"/>
      <c r="FT53" s="267"/>
      <c r="FU53" s="267"/>
      <c r="FV53" s="267"/>
      <c r="FW53" s="267"/>
      <c r="FX53" s="267"/>
      <c r="FY53" s="267"/>
      <c r="FZ53" s="267"/>
      <c r="GA53" s="267"/>
      <c r="GB53" s="267"/>
      <c r="GC53" s="267"/>
      <c r="GD53" s="267"/>
      <c r="GE53" s="267"/>
      <c r="GF53" s="267"/>
      <c r="GG53" s="267"/>
      <c r="GH53" s="267"/>
      <c r="GI53" s="267"/>
      <c r="GJ53" s="267"/>
    </row>
    <row r="54" spans="2:192" s="3" customFormat="1" ht="24.75" customHeight="1">
      <c r="B54" s="221" t="s">
        <v>204</v>
      </c>
      <c r="C54" s="220">
        <f>C52/$K$7</f>
        <v>7.4653953543040714</v>
      </c>
      <c r="D54" s="241" t="s">
        <v>213</v>
      </c>
      <c r="E54" s="192"/>
      <c r="F54" s="221" t="s">
        <v>204</v>
      </c>
      <c r="G54" s="220">
        <f>+G52/$K$7</f>
        <v>10.321489716979135</v>
      </c>
      <c r="H54" s="241" t="s">
        <v>213</v>
      </c>
      <c r="I54" s="192"/>
      <c r="J54" s="221" t="s">
        <v>204</v>
      </c>
      <c r="K54" s="220">
        <f>+K52/$K$7/1000</f>
        <v>1.6417828176956735</v>
      </c>
      <c r="L54" s="241" t="s">
        <v>214</v>
      </c>
      <c r="M54" s="192"/>
      <c r="N54" s="268"/>
      <c r="O54" s="267"/>
      <c r="P54" s="267"/>
      <c r="Q54" s="267"/>
      <c r="R54" s="267"/>
      <c r="S54" s="267"/>
      <c r="T54" s="267"/>
      <c r="U54" s="267"/>
      <c r="V54" s="267"/>
      <c r="W54" s="267"/>
      <c r="X54" s="267"/>
      <c r="Y54" s="267"/>
      <c r="Z54" s="267"/>
      <c r="AA54" s="267"/>
      <c r="AB54" s="267"/>
      <c r="AC54" s="267"/>
      <c r="AD54" s="267"/>
      <c r="AE54" s="267"/>
      <c r="AF54" s="267"/>
      <c r="AG54" s="267"/>
      <c r="AH54" s="267"/>
      <c r="AI54" s="267"/>
      <c r="AJ54" s="267"/>
      <c r="AK54" s="267"/>
      <c r="AL54" s="267"/>
      <c r="AM54" s="267"/>
      <c r="AN54" s="267"/>
      <c r="AO54" s="267"/>
      <c r="AP54" s="267"/>
      <c r="AQ54" s="267"/>
      <c r="AR54" s="267"/>
      <c r="AS54" s="267"/>
      <c r="AT54" s="267"/>
      <c r="AU54" s="267"/>
      <c r="AV54" s="267"/>
      <c r="AW54" s="267"/>
      <c r="AX54" s="267"/>
      <c r="AY54" s="267"/>
      <c r="AZ54" s="267"/>
      <c r="BA54" s="267"/>
      <c r="BB54" s="267"/>
      <c r="BC54" s="267"/>
      <c r="BD54" s="267"/>
      <c r="BE54" s="267"/>
      <c r="BF54" s="267"/>
      <c r="BG54" s="267"/>
      <c r="BH54" s="267"/>
      <c r="BI54" s="267"/>
      <c r="BJ54" s="267"/>
      <c r="BK54" s="267"/>
      <c r="BL54" s="267"/>
      <c r="BM54" s="267"/>
      <c r="BN54" s="267"/>
      <c r="BO54" s="267"/>
      <c r="BP54" s="267"/>
      <c r="BQ54" s="267"/>
      <c r="BR54" s="267"/>
      <c r="BS54" s="267"/>
      <c r="BT54" s="267"/>
      <c r="BU54" s="267"/>
      <c r="BV54" s="267"/>
      <c r="BW54" s="267"/>
      <c r="BX54" s="267"/>
      <c r="BY54" s="267"/>
      <c r="BZ54" s="267"/>
      <c r="CA54" s="267"/>
      <c r="CB54" s="267"/>
      <c r="CC54" s="267"/>
      <c r="CD54" s="267"/>
      <c r="CE54" s="267"/>
      <c r="CF54" s="267"/>
      <c r="CG54" s="267"/>
      <c r="CH54" s="267"/>
      <c r="CI54" s="267"/>
      <c r="CJ54" s="267"/>
      <c r="CK54" s="267"/>
      <c r="CL54" s="267"/>
      <c r="CM54" s="267"/>
      <c r="CN54" s="267"/>
      <c r="CO54" s="267"/>
      <c r="CP54" s="267"/>
      <c r="CQ54" s="267"/>
      <c r="CR54" s="267"/>
      <c r="CS54" s="267"/>
      <c r="CT54" s="267"/>
      <c r="CU54" s="267"/>
      <c r="CV54" s="267"/>
      <c r="CW54" s="267"/>
      <c r="CX54" s="267"/>
      <c r="CY54" s="267"/>
      <c r="CZ54" s="267"/>
      <c r="DA54" s="267"/>
      <c r="DB54" s="267"/>
      <c r="DC54" s="267"/>
      <c r="DD54" s="267"/>
      <c r="DE54" s="267"/>
      <c r="DF54" s="267"/>
      <c r="DG54" s="267"/>
      <c r="DH54" s="267"/>
      <c r="DI54" s="267"/>
      <c r="DJ54" s="267"/>
      <c r="DK54" s="267"/>
      <c r="DL54" s="267"/>
      <c r="DM54" s="267"/>
      <c r="DN54" s="267"/>
      <c r="DO54" s="267"/>
      <c r="DP54" s="267"/>
      <c r="DQ54" s="267"/>
      <c r="DR54" s="267"/>
      <c r="DS54" s="267"/>
      <c r="DT54" s="267"/>
      <c r="DU54" s="267"/>
      <c r="DV54" s="267"/>
      <c r="DW54" s="267"/>
      <c r="DX54" s="267"/>
      <c r="DY54" s="267"/>
      <c r="DZ54" s="267"/>
      <c r="EA54" s="267"/>
      <c r="EB54" s="267"/>
      <c r="EC54" s="267"/>
      <c r="ED54" s="267"/>
      <c r="EE54" s="267"/>
      <c r="EF54" s="267"/>
      <c r="EG54" s="267"/>
      <c r="EH54" s="267"/>
      <c r="EI54" s="267"/>
      <c r="EJ54" s="267"/>
      <c r="EK54" s="267"/>
      <c r="EL54" s="267"/>
      <c r="EM54" s="267"/>
      <c r="EN54" s="267"/>
      <c r="EO54" s="267"/>
      <c r="EP54" s="267"/>
      <c r="EQ54" s="267"/>
      <c r="ER54" s="267"/>
      <c r="ES54" s="267"/>
      <c r="ET54" s="267"/>
      <c r="EU54" s="267"/>
      <c r="EV54" s="267"/>
      <c r="EW54" s="267"/>
      <c r="EX54" s="267"/>
      <c r="EY54" s="267"/>
      <c r="EZ54" s="267"/>
      <c r="FA54" s="267"/>
      <c r="FB54" s="267"/>
      <c r="FC54" s="267"/>
      <c r="FD54" s="267"/>
      <c r="FE54" s="267"/>
      <c r="FF54" s="267"/>
      <c r="FG54" s="267"/>
      <c r="FH54" s="267"/>
      <c r="FI54" s="267"/>
      <c r="FJ54" s="267"/>
      <c r="FK54" s="267"/>
      <c r="FL54" s="267"/>
      <c r="FM54" s="267"/>
      <c r="FN54" s="267"/>
      <c r="FO54" s="267"/>
      <c r="FP54" s="267"/>
      <c r="FQ54" s="267"/>
      <c r="FR54" s="267"/>
      <c r="FS54" s="267"/>
      <c r="FT54" s="267"/>
      <c r="FU54" s="267"/>
      <c r="FV54" s="267"/>
      <c r="FW54" s="267"/>
      <c r="FX54" s="267"/>
      <c r="FY54" s="267"/>
      <c r="FZ54" s="267"/>
      <c r="GA54" s="267"/>
      <c r="GB54" s="267"/>
      <c r="GC54" s="267"/>
      <c r="GD54" s="267"/>
      <c r="GE54" s="267"/>
      <c r="GF54" s="267"/>
      <c r="GG54" s="267"/>
      <c r="GH54" s="267"/>
      <c r="GI54" s="267"/>
      <c r="GJ54" s="267"/>
    </row>
    <row r="55" spans="2:192" s="3" customFormat="1">
      <c r="B55" s="195"/>
      <c r="D55" s="242"/>
      <c r="E55" s="192"/>
      <c r="F55" s="195"/>
      <c r="H55" s="242"/>
      <c r="I55" s="192"/>
      <c r="J55" s="195"/>
      <c r="M55" s="195"/>
      <c r="N55" s="268"/>
      <c r="O55" s="267"/>
      <c r="P55" s="267"/>
      <c r="Q55" s="267"/>
      <c r="R55" s="267"/>
      <c r="S55" s="267"/>
      <c r="T55" s="267"/>
      <c r="U55" s="267"/>
      <c r="V55" s="267"/>
      <c r="W55" s="267"/>
      <c r="X55" s="267"/>
      <c r="Y55" s="267"/>
      <c r="Z55" s="267"/>
      <c r="AA55" s="267"/>
      <c r="AB55" s="267"/>
      <c r="AC55" s="267"/>
      <c r="AD55" s="267"/>
      <c r="AE55" s="267"/>
      <c r="AF55" s="267"/>
      <c r="AG55" s="267"/>
      <c r="AH55" s="267"/>
      <c r="AI55" s="267"/>
      <c r="AJ55" s="267"/>
      <c r="AK55" s="267"/>
      <c r="AL55" s="267"/>
      <c r="AM55" s="267"/>
      <c r="AN55" s="267"/>
      <c r="AO55" s="267"/>
      <c r="AP55" s="267"/>
      <c r="AQ55" s="267"/>
      <c r="AR55" s="267"/>
      <c r="AS55" s="267"/>
      <c r="AT55" s="267"/>
      <c r="AU55" s="267"/>
      <c r="AV55" s="267"/>
      <c r="AW55" s="267"/>
      <c r="AX55" s="267"/>
      <c r="AY55" s="267"/>
      <c r="AZ55" s="267"/>
      <c r="BA55" s="267"/>
      <c r="BB55" s="267"/>
      <c r="BC55" s="267"/>
      <c r="BD55" s="267"/>
      <c r="BE55" s="267"/>
      <c r="BF55" s="267"/>
      <c r="BG55" s="267"/>
      <c r="BH55" s="267"/>
      <c r="BI55" s="267"/>
      <c r="BJ55" s="267"/>
      <c r="BK55" s="267"/>
      <c r="BL55" s="267"/>
      <c r="BM55" s="267"/>
      <c r="BN55" s="267"/>
      <c r="BO55" s="267"/>
      <c r="BP55" s="267"/>
      <c r="BQ55" s="267"/>
      <c r="BR55" s="267"/>
      <c r="BS55" s="267"/>
      <c r="BT55" s="267"/>
      <c r="BU55" s="267"/>
      <c r="BV55" s="267"/>
      <c r="BW55" s="267"/>
      <c r="BX55" s="267"/>
      <c r="BY55" s="267"/>
      <c r="BZ55" s="267"/>
      <c r="CA55" s="267"/>
      <c r="CB55" s="267"/>
      <c r="CC55" s="267"/>
      <c r="CD55" s="267"/>
      <c r="CE55" s="267"/>
      <c r="CF55" s="267"/>
      <c r="CG55" s="267"/>
      <c r="CH55" s="267"/>
      <c r="CI55" s="267"/>
      <c r="CJ55" s="267"/>
      <c r="CK55" s="267"/>
      <c r="CL55" s="267"/>
      <c r="CM55" s="267"/>
      <c r="CN55" s="267"/>
      <c r="CO55" s="267"/>
      <c r="CP55" s="267"/>
      <c r="CQ55" s="267"/>
      <c r="CR55" s="267"/>
      <c r="CS55" s="267"/>
      <c r="CT55" s="267"/>
      <c r="CU55" s="267"/>
      <c r="CV55" s="267"/>
      <c r="CW55" s="267"/>
      <c r="CX55" s="267"/>
      <c r="CY55" s="267"/>
      <c r="CZ55" s="267"/>
      <c r="DA55" s="267"/>
      <c r="DB55" s="267"/>
      <c r="DC55" s="267"/>
      <c r="DD55" s="267"/>
      <c r="DE55" s="267"/>
      <c r="DF55" s="267"/>
      <c r="DG55" s="267"/>
      <c r="DH55" s="267"/>
      <c r="DI55" s="267"/>
      <c r="DJ55" s="267"/>
      <c r="DK55" s="267"/>
      <c r="DL55" s="267"/>
      <c r="DM55" s="267"/>
      <c r="DN55" s="267"/>
      <c r="DO55" s="267"/>
      <c r="DP55" s="267"/>
      <c r="DQ55" s="267"/>
      <c r="DR55" s="267"/>
      <c r="DS55" s="267"/>
      <c r="DT55" s="267"/>
      <c r="DU55" s="267"/>
      <c r="DV55" s="267"/>
      <c r="DW55" s="267"/>
      <c r="DX55" s="267"/>
      <c r="DY55" s="267"/>
      <c r="DZ55" s="267"/>
      <c r="EA55" s="267"/>
      <c r="EB55" s="267"/>
      <c r="EC55" s="267"/>
      <c r="ED55" s="267"/>
      <c r="EE55" s="267"/>
      <c r="EF55" s="267"/>
      <c r="EG55" s="267"/>
      <c r="EH55" s="267"/>
      <c r="EI55" s="267"/>
      <c r="EJ55" s="267"/>
      <c r="EK55" s="267"/>
      <c r="EL55" s="267"/>
      <c r="EM55" s="267"/>
      <c r="EN55" s="267"/>
      <c r="EO55" s="267"/>
      <c r="EP55" s="267"/>
      <c r="EQ55" s="267"/>
      <c r="ER55" s="267"/>
      <c r="ES55" s="267"/>
      <c r="ET55" s="267"/>
      <c r="EU55" s="267"/>
      <c r="EV55" s="267"/>
      <c r="EW55" s="267"/>
      <c r="EX55" s="267"/>
      <c r="EY55" s="267"/>
      <c r="EZ55" s="267"/>
      <c r="FA55" s="267"/>
      <c r="FB55" s="267"/>
      <c r="FC55" s="267"/>
      <c r="FD55" s="267"/>
      <c r="FE55" s="267"/>
      <c r="FF55" s="267"/>
      <c r="FG55" s="267"/>
      <c r="FH55" s="267"/>
      <c r="FI55" s="267"/>
      <c r="FJ55" s="267"/>
      <c r="FK55" s="267"/>
      <c r="FL55" s="267"/>
      <c r="FM55" s="267"/>
      <c r="FN55" s="267"/>
      <c r="FO55" s="267"/>
      <c r="FP55" s="267"/>
      <c r="FQ55" s="267"/>
      <c r="FR55" s="267"/>
      <c r="FS55" s="267"/>
      <c r="FT55" s="267"/>
      <c r="FU55" s="267"/>
      <c r="FV55" s="267"/>
      <c r="FW55" s="267"/>
      <c r="FX55" s="267"/>
      <c r="FY55" s="267"/>
      <c r="FZ55" s="267"/>
      <c r="GA55" s="267"/>
      <c r="GB55" s="267"/>
      <c r="GC55" s="267"/>
      <c r="GD55" s="267"/>
      <c r="GE55" s="267"/>
      <c r="GF55" s="267"/>
      <c r="GG55" s="267"/>
      <c r="GH55" s="267"/>
      <c r="GI55" s="267"/>
      <c r="GJ55" s="267"/>
    </row>
    <row r="56" spans="2:192" s="3" customFormat="1" ht="30.6">
      <c r="B56" s="243"/>
      <c r="C56" s="235" t="s">
        <v>206</v>
      </c>
      <c r="D56" s="244" t="s">
        <v>458</v>
      </c>
      <c r="E56" s="394"/>
      <c r="F56" s="243"/>
      <c r="G56" s="235" t="s">
        <v>206</v>
      </c>
      <c r="H56" s="244" t="s">
        <v>462</v>
      </c>
      <c r="I56" s="395"/>
      <c r="J56" s="243"/>
      <c r="K56" s="219" t="s">
        <v>206</v>
      </c>
      <c r="L56" s="244" t="s">
        <v>462</v>
      </c>
      <c r="M56" s="393"/>
      <c r="N56" s="268"/>
      <c r="O56" s="267"/>
      <c r="P56" s="267"/>
      <c r="Q56" s="267"/>
      <c r="R56" s="267"/>
      <c r="S56" s="267"/>
      <c r="T56" s="267"/>
      <c r="U56" s="267"/>
      <c r="V56" s="267"/>
      <c r="W56" s="267"/>
      <c r="X56" s="267"/>
      <c r="Y56" s="267"/>
      <c r="Z56" s="267"/>
      <c r="AA56" s="267"/>
      <c r="AB56" s="267"/>
      <c r="AC56" s="267"/>
      <c r="AD56" s="267"/>
      <c r="AE56" s="267"/>
      <c r="AF56" s="267"/>
      <c r="AG56" s="267"/>
      <c r="AH56" s="267"/>
      <c r="AI56" s="267"/>
      <c r="AJ56" s="267"/>
      <c r="AK56" s="267"/>
      <c r="AL56" s="267"/>
      <c r="AM56" s="267"/>
      <c r="AN56" s="267"/>
      <c r="AO56" s="267"/>
      <c r="AP56" s="267"/>
      <c r="AQ56" s="267"/>
      <c r="AR56" s="267"/>
      <c r="AS56" s="267"/>
      <c r="AT56" s="267"/>
      <c r="AU56" s="267"/>
      <c r="AV56" s="267"/>
      <c r="AW56" s="267"/>
      <c r="AX56" s="267"/>
      <c r="AY56" s="267"/>
      <c r="AZ56" s="267"/>
      <c r="BA56" s="267"/>
      <c r="BB56" s="267"/>
      <c r="BC56" s="267"/>
      <c r="BD56" s="267"/>
      <c r="BE56" s="267"/>
      <c r="BF56" s="267"/>
      <c r="BG56" s="267"/>
      <c r="BH56" s="267"/>
      <c r="BI56" s="267"/>
      <c r="BJ56" s="267"/>
      <c r="BK56" s="267"/>
      <c r="BL56" s="267"/>
      <c r="BM56" s="267"/>
      <c r="BN56" s="267"/>
      <c r="BO56" s="267"/>
      <c r="BP56" s="267"/>
      <c r="BQ56" s="267"/>
      <c r="BR56" s="267"/>
      <c r="BS56" s="267"/>
      <c r="BT56" s="267"/>
      <c r="BU56" s="267"/>
      <c r="BV56" s="267"/>
      <c r="BW56" s="267"/>
      <c r="BX56" s="267"/>
      <c r="BY56" s="267"/>
      <c r="BZ56" s="267"/>
      <c r="CA56" s="267"/>
      <c r="CB56" s="267"/>
      <c r="CC56" s="267"/>
      <c r="CD56" s="267"/>
      <c r="CE56" s="267"/>
      <c r="CF56" s="267"/>
      <c r="CG56" s="267"/>
      <c r="CH56" s="267"/>
      <c r="CI56" s="267"/>
      <c r="CJ56" s="267"/>
      <c r="CK56" s="267"/>
      <c r="CL56" s="267"/>
      <c r="CM56" s="267"/>
      <c r="CN56" s="267"/>
      <c r="CO56" s="267"/>
      <c r="CP56" s="267"/>
      <c r="CQ56" s="267"/>
      <c r="CR56" s="267"/>
      <c r="CS56" s="267"/>
      <c r="CT56" s="267"/>
      <c r="CU56" s="267"/>
      <c r="CV56" s="267"/>
      <c r="CW56" s="267"/>
      <c r="CX56" s="267"/>
      <c r="CY56" s="267"/>
      <c r="CZ56" s="267"/>
      <c r="DA56" s="267"/>
      <c r="DB56" s="267"/>
      <c r="DC56" s="267"/>
      <c r="DD56" s="267"/>
      <c r="DE56" s="267"/>
      <c r="DF56" s="267"/>
      <c r="DG56" s="267"/>
      <c r="DH56" s="267"/>
      <c r="DI56" s="267"/>
      <c r="DJ56" s="267"/>
      <c r="DK56" s="267"/>
      <c r="DL56" s="267"/>
      <c r="DM56" s="267"/>
      <c r="DN56" s="267"/>
      <c r="DO56" s="267"/>
      <c r="DP56" s="267"/>
      <c r="DQ56" s="267"/>
      <c r="DR56" s="267"/>
      <c r="DS56" s="267"/>
      <c r="DT56" s="267"/>
      <c r="DU56" s="267"/>
      <c r="DV56" s="267"/>
      <c r="DW56" s="267"/>
      <c r="DX56" s="267"/>
      <c r="DY56" s="267"/>
      <c r="DZ56" s="267"/>
      <c r="EA56" s="267"/>
      <c r="EB56" s="267"/>
      <c r="EC56" s="267"/>
      <c r="ED56" s="267"/>
      <c r="EE56" s="267"/>
      <c r="EF56" s="267"/>
      <c r="EG56" s="267"/>
      <c r="EH56" s="267"/>
      <c r="EI56" s="267"/>
      <c r="EJ56" s="267"/>
      <c r="EK56" s="267"/>
      <c r="EL56" s="267"/>
      <c r="EM56" s="267"/>
      <c r="EN56" s="267"/>
      <c r="EO56" s="267"/>
      <c r="EP56" s="267"/>
      <c r="EQ56" s="267"/>
      <c r="ER56" s="267"/>
      <c r="ES56" s="267"/>
      <c r="ET56" s="267"/>
      <c r="EU56" s="267"/>
      <c r="EV56" s="267"/>
      <c r="EW56" s="267"/>
      <c r="EX56" s="267"/>
      <c r="EY56" s="267"/>
      <c r="EZ56" s="267"/>
      <c r="FA56" s="267"/>
      <c r="FB56" s="267"/>
      <c r="FC56" s="267"/>
      <c r="FD56" s="267"/>
      <c r="FE56" s="267"/>
      <c r="FF56" s="267"/>
      <c r="FG56" s="267"/>
      <c r="FH56" s="267"/>
      <c r="FI56" s="267"/>
      <c r="FJ56" s="267"/>
      <c r="FK56" s="267"/>
      <c r="FL56" s="267"/>
      <c r="FM56" s="267"/>
      <c r="FN56" s="267"/>
      <c r="FO56" s="267"/>
      <c r="FP56" s="267"/>
      <c r="FQ56" s="267"/>
      <c r="FR56" s="267"/>
      <c r="FS56" s="267"/>
      <c r="FT56" s="267"/>
      <c r="FU56" s="267"/>
      <c r="FV56" s="267"/>
      <c r="FW56" s="267"/>
      <c r="FX56" s="267"/>
      <c r="FY56" s="267"/>
      <c r="FZ56" s="267"/>
      <c r="GA56" s="267"/>
      <c r="GB56" s="267"/>
      <c r="GC56" s="267"/>
      <c r="GD56" s="267"/>
      <c r="GE56" s="267"/>
      <c r="GF56" s="267"/>
      <c r="GG56" s="267"/>
      <c r="GH56" s="267"/>
      <c r="GI56" s="267"/>
      <c r="GJ56" s="267"/>
    </row>
    <row r="57" spans="2:192" s="3" customFormat="1">
      <c r="B57" s="245" t="s">
        <v>223</v>
      </c>
      <c r="C57" s="255">
        <f>+$C$13/C54</f>
        <v>353.63163967973168</v>
      </c>
      <c r="D57" s="260">
        <f>G13/C54</f>
        <v>160.74165439987803</v>
      </c>
      <c r="E57" s="394"/>
      <c r="F57" s="262" t="s">
        <v>223</v>
      </c>
      <c r="G57" s="232">
        <f>+$C$13/G54</f>
        <v>255.77703145478381</v>
      </c>
      <c r="H57" s="247">
        <f>G13/G54</f>
        <v>116.26228702490174</v>
      </c>
      <c r="I57" s="395"/>
      <c r="J57" s="262" t="s">
        <v>223</v>
      </c>
      <c r="K57" s="263">
        <f>+$C$13/K54</f>
        <v>1608.0080577925501</v>
      </c>
      <c r="L57" s="264">
        <f>G13/K54</f>
        <v>730.91275354206812</v>
      </c>
      <c r="M57" s="393"/>
      <c r="N57" s="268"/>
      <c r="O57" s="267"/>
      <c r="P57" s="267"/>
      <c r="Q57" s="267"/>
      <c r="R57" s="267"/>
      <c r="S57" s="267"/>
      <c r="T57" s="267"/>
      <c r="U57" s="267"/>
      <c r="V57" s="267"/>
      <c r="W57" s="267"/>
      <c r="X57" s="267"/>
      <c r="Y57" s="267"/>
      <c r="Z57" s="267"/>
      <c r="AA57" s="267"/>
      <c r="AB57" s="267"/>
      <c r="AC57" s="267"/>
      <c r="AD57" s="267"/>
      <c r="AE57" s="267"/>
      <c r="AF57" s="267"/>
      <c r="AG57" s="267"/>
      <c r="AH57" s="267"/>
      <c r="AI57" s="267"/>
      <c r="AJ57" s="267"/>
      <c r="AK57" s="267"/>
      <c r="AL57" s="267"/>
      <c r="AM57" s="267"/>
      <c r="AN57" s="267"/>
      <c r="AO57" s="267"/>
      <c r="AP57" s="267"/>
      <c r="AQ57" s="267"/>
      <c r="AR57" s="267"/>
      <c r="AS57" s="267"/>
      <c r="AT57" s="267"/>
      <c r="AU57" s="267"/>
      <c r="AV57" s="267"/>
      <c r="AW57" s="267"/>
      <c r="AX57" s="267"/>
      <c r="AY57" s="267"/>
      <c r="AZ57" s="267"/>
      <c r="BA57" s="267"/>
      <c r="BB57" s="267"/>
      <c r="BC57" s="267"/>
      <c r="BD57" s="267"/>
      <c r="BE57" s="267"/>
      <c r="BF57" s="267"/>
      <c r="BG57" s="267"/>
      <c r="BH57" s="267"/>
      <c r="BI57" s="267"/>
      <c r="BJ57" s="267"/>
      <c r="BK57" s="267"/>
      <c r="BL57" s="267"/>
      <c r="BM57" s="267"/>
      <c r="BN57" s="267"/>
      <c r="BO57" s="267"/>
      <c r="BP57" s="267"/>
      <c r="BQ57" s="267"/>
      <c r="BR57" s="267"/>
      <c r="BS57" s="267"/>
      <c r="BT57" s="267"/>
      <c r="BU57" s="267"/>
      <c r="BV57" s="267"/>
      <c r="BW57" s="267"/>
      <c r="BX57" s="267"/>
      <c r="BY57" s="267"/>
      <c r="BZ57" s="267"/>
      <c r="CA57" s="267"/>
      <c r="CB57" s="267"/>
      <c r="CC57" s="267"/>
      <c r="CD57" s="267"/>
      <c r="CE57" s="267"/>
      <c r="CF57" s="267"/>
      <c r="CG57" s="267"/>
      <c r="CH57" s="267"/>
      <c r="CI57" s="267"/>
      <c r="CJ57" s="267"/>
      <c r="CK57" s="267"/>
      <c r="CL57" s="267"/>
      <c r="CM57" s="267"/>
      <c r="CN57" s="267"/>
      <c r="CO57" s="267"/>
      <c r="CP57" s="267"/>
      <c r="CQ57" s="267"/>
      <c r="CR57" s="267"/>
      <c r="CS57" s="267"/>
      <c r="CT57" s="267"/>
      <c r="CU57" s="267"/>
      <c r="CV57" s="267"/>
      <c r="CW57" s="267"/>
      <c r="CX57" s="267"/>
      <c r="CY57" s="267"/>
      <c r="CZ57" s="267"/>
      <c r="DA57" s="267"/>
      <c r="DB57" s="267"/>
      <c r="DC57" s="267"/>
      <c r="DD57" s="267"/>
      <c r="DE57" s="267"/>
      <c r="DF57" s="267"/>
      <c r="DG57" s="267"/>
      <c r="DH57" s="267"/>
      <c r="DI57" s="267"/>
      <c r="DJ57" s="267"/>
      <c r="DK57" s="267"/>
      <c r="DL57" s="267"/>
      <c r="DM57" s="267"/>
      <c r="DN57" s="267"/>
      <c r="DO57" s="267"/>
      <c r="DP57" s="267"/>
      <c r="DQ57" s="267"/>
      <c r="DR57" s="267"/>
      <c r="DS57" s="267"/>
      <c r="DT57" s="267"/>
      <c r="DU57" s="267"/>
      <c r="DV57" s="267"/>
      <c r="DW57" s="267"/>
      <c r="DX57" s="267"/>
      <c r="DY57" s="267"/>
      <c r="DZ57" s="267"/>
      <c r="EA57" s="267"/>
      <c r="EB57" s="267"/>
      <c r="EC57" s="267"/>
      <c r="ED57" s="267"/>
      <c r="EE57" s="267"/>
      <c r="EF57" s="267"/>
      <c r="EG57" s="267"/>
      <c r="EH57" s="267"/>
      <c r="EI57" s="267"/>
      <c r="EJ57" s="267"/>
      <c r="EK57" s="267"/>
      <c r="EL57" s="267"/>
      <c r="EM57" s="267"/>
      <c r="EN57" s="267"/>
      <c r="EO57" s="267"/>
      <c r="EP57" s="267"/>
      <c r="EQ57" s="267"/>
      <c r="ER57" s="267"/>
      <c r="ES57" s="267"/>
      <c r="ET57" s="267"/>
      <c r="EU57" s="267"/>
      <c r="EV57" s="267"/>
      <c r="EW57" s="267"/>
      <c r="EX57" s="267"/>
      <c r="EY57" s="267"/>
      <c r="EZ57" s="267"/>
      <c r="FA57" s="267"/>
      <c r="FB57" s="267"/>
      <c r="FC57" s="267"/>
      <c r="FD57" s="267"/>
      <c r="FE57" s="267"/>
      <c r="FF57" s="267"/>
      <c r="FG57" s="267"/>
      <c r="FH57" s="267"/>
      <c r="FI57" s="267"/>
      <c r="FJ57" s="267"/>
      <c r="FK57" s="267"/>
      <c r="FL57" s="267"/>
      <c r="FM57" s="267"/>
      <c r="FN57" s="267"/>
      <c r="FO57" s="267"/>
      <c r="FP57" s="267"/>
      <c r="FQ57" s="267"/>
      <c r="FR57" s="267"/>
      <c r="FS57" s="267"/>
      <c r="FT57" s="267"/>
      <c r="FU57" s="267"/>
      <c r="FV57" s="267"/>
      <c r="FW57" s="267"/>
      <c r="FX57" s="267"/>
      <c r="FY57" s="267"/>
      <c r="FZ57" s="267"/>
      <c r="GA57" s="267"/>
      <c r="GB57" s="267"/>
      <c r="GC57" s="267"/>
      <c r="GD57" s="267"/>
      <c r="GE57" s="267"/>
      <c r="GF57" s="267"/>
      <c r="GG57" s="267"/>
      <c r="GH57" s="267"/>
      <c r="GI57" s="267"/>
      <c r="GJ57" s="267"/>
    </row>
    <row r="58" spans="2:192" s="3" customFormat="1">
      <c r="B58" s="245"/>
      <c r="C58" s="196"/>
      <c r="D58" s="194"/>
      <c r="E58" s="394"/>
      <c r="F58" s="262"/>
      <c r="G58" s="232"/>
      <c r="H58" s="247"/>
      <c r="I58" s="395"/>
      <c r="J58" s="262"/>
      <c r="K58" s="263"/>
      <c r="L58" s="264"/>
      <c r="M58" s="393"/>
      <c r="N58" s="268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7"/>
      <c r="AK58" s="267"/>
      <c r="AL58" s="267"/>
      <c r="AM58" s="267"/>
      <c r="AN58" s="267"/>
      <c r="AO58" s="267"/>
      <c r="AP58" s="267"/>
      <c r="AQ58" s="267"/>
      <c r="AR58" s="267"/>
      <c r="AS58" s="267"/>
      <c r="AT58" s="267"/>
      <c r="AU58" s="267"/>
      <c r="AV58" s="267"/>
      <c r="AW58" s="267"/>
      <c r="AX58" s="267"/>
      <c r="AY58" s="267"/>
      <c r="AZ58" s="267"/>
      <c r="BA58" s="267"/>
      <c r="BB58" s="267"/>
      <c r="BC58" s="267"/>
      <c r="BD58" s="267"/>
      <c r="BE58" s="267"/>
      <c r="BF58" s="267"/>
      <c r="BG58" s="267"/>
      <c r="BH58" s="267"/>
      <c r="BI58" s="267"/>
      <c r="BJ58" s="267"/>
      <c r="BK58" s="267"/>
      <c r="BL58" s="267"/>
      <c r="BM58" s="267"/>
      <c r="BN58" s="267"/>
      <c r="BO58" s="267"/>
      <c r="BP58" s="267"/>
      <c r="BQ58" s="267"/>
      <c r="BR58" s="267"/>
      <c r="BS58" s="267"/>
      <c r="BT58" s="267"/>
      <c r="BU58" s="267"/>
      <c r="BV58" s="267"/>
      <c r="BW58" s="267"/>
      <c r="BX58" s="267"/>
      <c r="BY58" s="267"/>
      <c r="BZ58" s="267"/>
      <c r="CA58" s="267"/>
      <c r="CB58" s="267"/>
      <c r="CC58" s="267"/>
      <c r="CD58" s="267"/>
      <c r="CE58" s="267"/>
      <c r="CF58" s="267"/>
      <c r="CG58" s="267"/>
      <c r="CH58" s="267"/>
      <c r="CI58" s="267"/>
      <c r="CJ58" s="267"/>
      <c r="CK58" s="267"/>
      <c r="CL58" s="267"/>
      <c r="CM58" s="267"/>
      <c r="CN58" s="267"/>
      <c r="CO58" s="267"/>
      <c r="CP58" s="267"/>
      <c r="CQ58" s="267"/>
      <c r="CR58" s="267"/>
      <c r="CS58" s="267"/>
      <c r="CT58" s="267"/>
      <c r="CU58" s="267"/>
      <c r="CV58" s="267"/>
      <c r="CW58" s="267"/>
      <c r="CX58" s="267"/>
      <c r="CY58" s="267"/>
      <c r="CZ58" s="267"/>
      <c r="DA58" s="267"/>
      <c r="DB58" s="267"/>
      <c r="DC58" s="267"/>
      <c r="DD58" s="267"/>
      <c r="DE58" s="267"/>
      <c r="DF58" s="267"/>
      <c r="DG58" s="267"/>
      <c r="DH58" s="267"/>
      <c r="DI58" s="267"/>
      <c r="DJ58" s="267"/>
      <c r="DK58" s="267"/>
      <c r="DL58" s="267"/>
      <c r="DM58" s="267"/>
      <c r="DN58" s="267"/>
      <c r="DO58" s="267"/>
      <c r="DP58" s="267"/>
      <c r="DQ58" s="267"/>
      <c r="DR58" s="267"/>
      <c r="DS58" s="267"/>
      <c r="DT58" s="267"/>
      <c r="DU58" s="267"/>
      <c r="DV58" s="267"/>
      <c r="DW58" s="267"/>
      <c r="DX58" s="267"/>
      <c r="DY58" s="267"/>
      <c r="DZ58" s="267"/>
      <c r="EA58" s="267"/>
      <c r="EB58" s="267"/>
      <c r="EC58" s="267"/>
      <c r="ED58" s="267"/>
      <c r="EE58" s="267"/>
      <c r="EF58" s="267"/>
      <c r="EG58" s="267"/>
      <c r="EH58" s="267"/>
      <c r="EI58" s="267"/>
      <c r="EJ58" s="267"/>
      <c r="EK58" s="267"/>
      <c r="EL58" s="267"/>
      <c r="EM58" s="267"/>
      <c r="EN58" s="267"/>
      <c r="EO58" s="267"/>
      <c r="EP58" s="267"/>
      <c r="EQ58" s="267"/>
      <c r="ER58" s="267"/>
      <c r="ES58" s="267"/>
      <c r="ET58" s="267"/>
      <c r="EU58" s="267"/>
      <c r="EV58" s="267"/>
      <c r="EW58" s="267"/>
      <c r="EX58" s="267"/>
      <c r="EY58" s="267"/>
      <c r="EZ58" s="267"/>
      <c r="FA58" s="267"/>
      <c r="FB58" s="267"/>
      <c r="FC58" s="267"/>
      <c r="FD58" s="267"/>
      <c r="FE58" s="267"/>
      <c r="FF58" s="267"/>
      <c r="FG58" s="267"/>
      <c r="FH58" s="267"/>
      <c r="FI58" s="267"/>
      <c r="FJ58" s="267"/>
      <c r="FK58" s="267"/>
      <c r="FL58" s="267"/>
      <c r="FM58" s="267"/>
      <c r="FN58" s="267"/>
      <c r="FO58" s="267"/>
      <c r="FP58" s="267"/>
      <c r="FQ58" s="267"/>
      <c r="FR58" s="267"/>
      <c r="FS58" s="267"/>
      <c r="FT58" s="267"/>
      <c r="FU58" s="267"/>
      <c r="FV58" s="267"/>
      <c r="FW58" s="267"/>
      <c r="FX58" s="267"/>
      <c r="FY58" s="267"/>
      <c r="FZ58" s="267"/>
      <c r="GA58" s="267"/>
      <c r="GB58" s="267"/>
      <c r="GC58" s="267"/>
      <c r="GD58" s="267"/>
      <c r="GE58" s="267"/>
      <c r="GF58" s="267"/>
      <c r="GG58" s="267"/>
      <c r="GH58" s="267"/>
      <c r="GI58" s="267"/>
      <c r="GJ58" s="267"/>
    </row>
    <row r="59" spans="2:192" s="3" customFormat="1">
      <c r="B59" s="245" t="s">
        <v>467</v>
      </c>
      <c r="C59" s="196">
        <f>+C15/C57</f>
        <v>389.94531180775323</v>
      </c>
      <c r="D59" s="261">
        <f>+G15/D57</f>
        <v>221.72224202283093</v>
      </c>
      <c r="E59" s="192"/>
      <c r="F59" s="243"/>
      <c r="G59" s="256"/>
      <c r="H59" s="248"/>
      <c r="I59" s="387"/>
      <c r="J59" s="245" t="s">
        <v>467</v>
      </c>
      <c r="K59" s="206">
        <f>+C15/K57</f>
        <v>85.756411065068278</v>
      </c>
      <c r="L59" s="265">
        <f>+G15/L57</f>
        <v>48.760949685561506</v>
      </c>
      <c r="M59" s="192"/>
      <c r="N59" s="268"/>
      <c r="O59" s="267"/>
      <c r="P59" s="267"/>
      <c r="Q59" s="267"/>
      <c r="R59" s="267"/>
      <c r="S59" s="267"/>
      <c r="T59" s="267"/>
      <c r="U59" s="267"/>
      <c r="V59" s="267"/>
      <c r="W59" s="267"/>
      <c r="X59" s="267"/>
      <c r="Y59" s="267"/>
      <c r="Z59" s="267"/>
      <c r="AA59" s="267"/>
      <c r="AB59" s="267"/>
      <c r="AC59" s="267"/>
      <c r="AD59" s="267"/>
      <c r="AE59" s="267"/>
      <c r="AF59" s="267"/>
      <c r="AG59" s="267"/>
      <c r="AH59" s="267"/>
      <c r="AI59" s="267"/>
      <c r="AJ59" s="267"/>
      <c r="AK59" s="267"/>
      <c r="AL59" s="267"/>
      <c r="AM59" s="267"/>
      <c r="AN59" s="267"/>
      <c r="AO59" s="267"/>
      <c r="AP59" s="267"/>
      <c r="AQ59" s="267"/>
      <c r="AR59" s="267"/>
      <c r="AS59" s="267"/>
      <c r="AT59" s="267"/>
      <c r="AU59" s="267"/>
      <c r="AV59" s="267"/>
      <c r="AW59" s="267"/>
      <c r="AX59" s="267"/>
      <c r="AY59" s="267"/>
      <c r="AZ59" s="267"/>
      <c r="BA59" s="267"/>
      <c r="BB59" s="267"/>
      <c r="BC59" s="267"/>
      <c r="BD59" s="267"/>
      <c r="BE59" s="267"/>
      <c r="BF59" s="267"/>
      <c r="BG59" s="267"/>
      <c r="BH59" s="267"/>
      <c r="BI59" s="267"/>
      <c r="BJ59" s="267"/>
      <c r="BK59" s="267"/>
      <c r="BL59" s="267"/>
      <c r="BM59" s="267"/>
      <c r="BN59" s="267"/>
      <c r="BO59" s="267"/>
      <c r="BP59" s="267"/>
      <c r="BQ59" s="267"/>
      <c r="BR59" s="267"/>
      <c r="BS59" s="267"/>
      <c r="BT59" s="267"/>
      <c r="BU59" s="267"/>
      <c r="BV59" s="267"/>
      <c r="BW59" s="267"/>
      <c r="BX59" s="267"/>
      <c r="BY59" s="267"/>
      <c r="BZ59" s="267"/>
      <c r="CA59" s="267"/>
      <c r="CB59" s="267"/>
      <c r="CC59" s="267"/>
      <c r="CD59" s="267"/>
      <c r="CE59" s="267"/>
      <c r="CF59" s="267"/>
      <c r="CG59" s="267"/>
      <c r="CH59" s="267"/>
      <c r="CI59" s="267"/>
      <c r="CJ59" s="267"/>
      <c r="CK59" s="267"/>
      <c r="CL59" s="267"/>
      <c r="CM59" s="267"/>
      <c r="CN59" s="267"/>
      <c r="CO59" s="267"/>
      <c r="CP59" s="267"/>
      <c r="CQ59" s="267"/>
      <c r="CR59" s="267"/>
      <c r="CS59" s="267"/>
      <c r="CT59" s="267"/>
      <c r="CU59" s="267"/>
      <c r="CV59" s="267"/>
      <c r="CW59" s="267"/>
      <c r="CX59" s="267"/>
      <c r="CY59" s="267"/>
      <c r="CZ59" s="267"/>
      <c r="DA59" s="267"/>
      <c r="DB59" s="267"/>
      <c r="DC59" s="267"/>
      <c r="DD59" s="267"/>
      <c r="DE59" s="267"/>
      <c r="DF59" s="267"/>
      <c r="DG59" s="267"/>
      <c r="DH59" s="267"/>
      <c r="DI59" s="267"/>
      <c r="DJ59" s="267"/>
      <c r="DK59" s="267"/>
      <c r="DL59" s="267"/>
      <c r="DM59" s="267"/>
      <c r="DN59" s="267"/>
      <c r="DO59" s="267"/>
      <c r="DP59" s="267"/>
      <c r="DQ59" s="267"/>
      <c r="DR59" s="267"/>
      <c r="DS59" s="267"/>
      <c r="DT59" s="267"/>
      <c r="DU59" s="267"/>
      <c r="DV59" s="267"/>
      <c r="DW59" s="267"/>
      <c r="DX59" s="267"/>
      <c r="DY59" s="267"/>
      <c r="DZ59" s="267"/>
      <c r="EA59" s="267"/>
      <c r="EB59" s="267"/>
      <c r="EC59" s="267"/>
      <c r="ED59" s="267"/>
      <c r="EE59" s="267"/>
      <c r="EF59" s="267"/>
      <c r="EG59" s="267"/>
      <c r="EH59" s="267"/>
      <c r="EI59" s="267"/>
      <c r="EJ59" s="267"/>
      <c r="EK59" s="267"/>
      <c r="EL59" s="267"/>
      <c r="EM59" s="267"/>
      <c r="EN59" s="267"/>
      <c r="EO59" s="267"/>
      <c r="EP59" s="267"/>
      <c r="EQ59" s="267"/>
      <c r="ER59" s="267"/>
      <c r="ES59" s="267"/>
      <c r="ET59" s="267"/>
      <c r="EU59" s="267"/>
      <c r="EV59" s="267"/>
      <c r="EW59" s="267"/>
      <c r="EX59" s="267"/>
      <c r="EY59" s="267"/>
      <c r="EZ59" s="267"/>
      <c r="FA59" s="267"/>
      <c r="FB59" s="267"/>
      <c r="FC59" s="267"/>
      <c r="FD59" s="267"/>
      <c r="FE59" s="267"/>
      <c r="FF59" s="267"/>
      <c r="FG59" s="267"/>
      <c r="FH59" s="267"/>
      <c r="FI59" s="267"/>
      <c r="FJ59" s="267"/>
      <c r="FK59" s="267"/>
      <c r="FL59" s="267"/>
      <c r="FM59" s="267"/>
      <c r="FN59" s="267"/>
      <c r="FO59" s="267"/>
      <c r="FP59" s="267"/>
      <c r="FQ59" s="267"/>
      <c r="FR59" s="267"/>
      <c r="FS59" s="267"/>
      <c r="FT59" s="267"/>
      <c r="FU59" s="267"/>
      <c r="FV59" s="267"/>
      <c r="FW59" s="267"/>
      <c r="FX59" s="267"/>
      <c r="FY59" s="267"/>
      <c r="FZ59" s="267"/>
      <c r="GA59" s="267"/>
      <c r="GB59" s="267"/>
      <c r="GC59" s="267"/>
      <c r="GD59" s="267"/>
      <c r="GE59" s="267"/>
      <c r="GF59" s="267"/>
      <c r="GG59" s="267"/>
      <c r="GH59" s="267"/>
      <c r="GI59" s="267"/>
      <c r="GJ59" s="267"/>
    </row>
    <row r="60" spans="2:192" s="3" customFormat="1">
      <c r="B60" s="245"/>
      <c r="C60" s="196"/>
      <c r="D60" s="194"/>
      <c r="E60" s="192"/>
      <c r="F60" s="245" t="s">
        <v>466</v>
      </c>
      <c r="I60" s="387"/>
      <c r="J60" s="245"/>
      <c r="K60" s="206"/>
      <c r="L60" s="266"/>
      <c r="M60" s="192"/>
      <c r="N60" s="268"/>
      <c r="O60" s="267"/>
      <c r="P60" s="267"/>
      <c r="Q60" s="267"/>
      <c r="R60" s="267"/>
      <c r="S60" s="267"/>
      <c r="T60" s="267"/>
      <c r="U60" s="267"/>
      <c r="V60" s="267"/>
      <c r="W60" s="267"/>
      <c r="X60" s="267"/>
      <c r="Y60" s="267"/>
      <c r="Z60" s="267"/>
      <c r="AA60" s="267"/>
      <c r="AB60" s="267"/>
      <c r="AC60" s="267"/>
      <c r="AD60" s="267"/>
      <c r="AE60" s="267"/>
      <c r="AF60" s="267"/>
      <c r="AG60" s="267"/>
      <c r="AH60" s="267"/>
      <c r="AI60" s="267"/>
      <c r="AJ60" s="267"/>
      <c r="AK60" s="267"/>
      <c r="AL60" s="267"/>
      <c r="AM60" s="267"/>
      <c r="AN60" s="267"/>
      <c r="AO60" s="267"/>
      <c r="AP60" s="267"/>
      <c r="AQ60" s="267"/>
      <c r="AR60" s="267"/>
      <c r="AS60" s="267"/>
      <c r="AT60" s="267"/>
      <c r="AU60" s="267"/>
      <c r="AV60" s="267"/>
      <c r="AW60" s="267"/>
      <c r="AX60" s="267"/>
      <c r="AY60" s="267"/>
      <c r="AZ60" s="267"/>
      <c r="BA60" s="267"/>
      <c r="BB60" s="267"/>
      <c r="BC60" s="267"/>
      <c r="BD60" s="267"/>
      <c r="BE60" s="267"/>
      <c r="BF60" s="267"/>
      <c r="BG60" s="267"/>
      <c r="BH60" s="267"/>
      <c r="BI60" s="267"/>
      <c r="BJ60" s="267"/>
      <c r="BK60" s="267"/>
      <c r="BL60" s="267"/>
      <c r="BM60" s="267"/>
      <c r="BN60" s="267"/>
      <c r="BO60" s="267"/>
      <c r="BP60" s="267"/>
      <c r="BQ60" s="267"/>
      <c r="BR60" s="267"/>
      <c r="BS60" s="267"/>
      <c r="BT60" s="267"/>
      <c r="BU60" s="267"/>
      <c r="BV60" s="267"/>
      <c r="BW60" s="267"/>
      <c r="BX60" s="267"/>
      <c r="BY60" s="267"/>
      <c r="BZ60" s="267"/>
      <c r="CA60" s="267"/>
      <c r="CB60" s="267"/>
      <c r="CC60" s="267"/>
      <c r="CD60" s="267"/>
      <c r="CE60" s="267"/>
      <c r="CF60" s="267"/>
      <c r="CG60" s="267"/>
      <c r="CH60" s="267"/>
      <c r="CI60" s="267"/>
      <c r="CJ60" s="267"/>
      <c r="CK60" s="267"/>
      <c r="CL60" s="267"/>
      <c r="CM60" s="267"/>
      <c r="CN60" s="267"/>
      <c r="CO60" s="267"/>
      <c r="CP60" s="267"/>
      <c r="CQ60" s="267"/>
      <c r="CR60" s="267"/>
      <c r="CS60" s="267"/>
      <c r="CT60" s="267"/>
      <c r="CU60" s="267"/>
      <c r="CV60" s="267"/>
      <c r="CW60" s="267"/>
      <c r="CX60" s="267"/>
      <c r="CY60" s="267"/>
      <c r="CZ60" s="267"/>
      <c r="DA60" s="267"/>
      <c r="DB60" s="267"/>
      <c r="DC60" s="267"/>
      <c r="DD60" s="267"/>
      <c r="DE60" s="267"/>
      <c r="DF60" s="267"/>
      <c r="DG60" s="267"/>
      <c r="DH60" s="267"/>
      <c r="DI60" s="267"/>
      <c r="DJ60" s="267"/>
      <c r="DK60" s="267"/>
      <c r="DL60" s="267"/>
      <c r="DM60" s="267"/>
      <c r="DN60" s="267"/>
      <c r="DO60" s="267"/>
      <c r="DP60" s="267"/>
      <c r="DQ60" s="267"/>
      <c r="DR60" s="267"/>
      <c r="DS60" s="267"/>
      <c r="DT60" s="267"/>
      <c r="DU60" s="267"/>
      <c r="DV60" s="267"/>
      <c r="DW60" s="267"/>
      <c r="DX60" s="267"/>
      <c r="DY60" s="267"/>
      <c r="DZ60" s="267"/>
      <c r="EA60" s="267"/>
      <c r="EB60" s="267"/>
      <c r="EC60" s="267"/>
      <c r="ED60" s="267"/>
      <c r="EE60" s="267"/>
      <c r="EF60" s="267"/>
      <c r="EG60" s="267"/>
      <c r="EH60" s="267"/>
      <c r="EI60" s="267"/>
      <c r="EJ60" s="267"/>
      <c r="EK60" s="267"/>
      <c r="EL60" s="267"/>
      <c r="EM60" s="267"/>
      <c r="EN60" s="267"/>
      <c r="EO60" s="267"/>
      <c r="EP60" s="267"/>
      <c r="EQ60" s="267"/>
      <c r="ER60" s="267"/>
      <c r="ES60" s="267"/>
      <c r="ET60" s="267"/>
      <c r="EU60" s="267"/>
      <c r="EV60" s="267"/>
      <c r="EW60" s="267"/>
      <c r="EX60" s="267"/>
      <c r="EY60" s="267"/>
      <c r="EZ60" s="267"/>
      <c r="FA60" s="267"/>
      <c r="FB60" s="267"/>
      <c r="FC60" s="267"/>
      <c r="FD60" s="267"/>
      <c r="FE60" s="267"/>
      <c r="FF60" s="267"/>
      <c r="FG60" s="267"/>
      <c r="FH60" s="267"/>
      <c r="FI60" s="267"/>
      <c r="FJ60" s="267"/>
      <c r="FK60" s="267"/>
      <c r="FL60" s="267"/>
      <c r="FM60" s="267"/>
      <c r="FN60" s="267"/>
      <c r="FO60" s="267"/>
      <c r="FP60" s="267"/>
      <c r="FQ60" s="267"/>
      <c r="FR60" s="267"/>
      <c r="FS60" s="267"/>
      <c r="FT60" s="267"/>
      <c r="FU60" s="267"/>
      <c r="FV60" s="267"/>
      <c r="FW60" s="267"/>
      <c r="FX60" s="267"/>
      <c r="FY60" s="267"/>
      <c r="FZ60" s="267"/>
      <c r="GA60" s="267"/>
      <c r="GB60" s="267"/>
      <c r="GC60" s="267"/>
      <c r="GD60" s="267"/>
      <c r="GE60" s="267"/>
      <c r="GF60" s="267"/>
      <c r="GG60" s="267"/>
      <c r="GH60" s="267"/>
      <c r="GI60" s="267"/>
      <c r="GJ60" s="267"/>
    </row>
    <row r="61" spans="2:192" s="3" customFormat="1" ht="16.2" thickBot="1">
      <c r="B61" s="245" t="s">
        <v>468</v>
      </c>
      <c r="C61" s="196">
        <f>+C59/C48*12</f>
        <v>259.96354120516878</v>
      </c>
      <c r="D61" s="261">
        <f>+D59/C48*12</f>
        <v>147.81482801522063</v>
      </c>
      <c r="E61" s="192"/>
      <c r="F61" s="245" t="s">
        <v>468</v>
      </c>
      <c r="G61" s="218">
        <f>+C15/G57</f>
        <v>539.12972253873932</v>
      </c>
      <c r="H61" s="237">
        <f>+G15/H57</f>
        <v>306.54824459428033</v>
      </c>
      <c r="I61" s="234"/>
      <c r="J61" s="245" t="s">
        <v>468</v>
      </c>
      <c r="K61" s="206">
        <f>+K59/K48*12</f>
        <v>257.26923319520483</v>
      </c>
      <c r="L61" s="265">
        <f>+L59/K48*12</f>
        <v>146.28284905668451</v>
      </c>
      <c r="M61" s="192"/>
      <c r="N61" s="268"/>
      <c r="O61" s="267"/>
      <c r="P61" s="267"/>
      <c r="Q61" s="267"/>
      <c r="R61" s="267"/>
      <c r="S61" s="267"/>
      <c r="T61" s="267"/>
      <c r="U61" s="267"/>
      <c r="V61" s="267"/>
      <c r="W61" s="267"/>
      <c r="X61" s="267"/>
      <c r="Y61" s="267"/>
      <c r="Z61" s="267"/>
      <c r="AA61" s="267"/>
      <c r="AB61" s="267"/>
      <c r="AC61" s="267"/>
      <c r="AD61" s="267"/>
      <c r="AE61" s="267"/>
      <c r="AF61" s="267"/>
      <c r="AG61" s="267"/>
      <c r="AH61" s="267"/>
      <c r="AI61" s="267"/>
      <c r="AJ61" s="267"/>
      <c r="AK61" s="267"/>
      <c r="AL61" s="267"/>
      <c r="AM61" s="267"/>
      <c r="AN61" s="267"/>
      <c r="AO61" s="267"/>
      <c r="AP61" s="267"/>
      <c r="AQ61" s="267"/>
      <c r="AR61" s="267"/>
      <c r="AS61" s="267"/>
      <c r="AT61" s="267"/>
      <c r="AU61" s="267"/>
      <c r="AV61" s="267"/>
      <c r="AW61" s="267"/>
      <c r="AX61" s="267"/>
      <c r="AY61" s="267"/>
      <c r="AZ61" s="267"/>
      <c r="BA61" s="267"/>
      <c r="BB61" s="267"/>
      <c r="BC61" s="267"/>
      <c r="BD61" s="267"/>
      <c r="BE61" s="267"/>
      <c r="BF61" s="267"/>
      <c r="BG61" s="267"/>
      <c r="BH61" s="267"/>
      <c r="BI61" s="267"/>
      <c r="BJ61" s="267"/>
      <c r="BK61" s="267"/>
      <c r="BL61" s="267"/>
      <c r="BM61" s="267"/>
      <c r="BN61" s="267"/>
      <c r="BO61" s="267"/>
      <c r="BP61" s="267"/>
      <c r="BQ61" s="267"/>
      <c r="BR61" s="267"/>
      <c r="BS61" s="267"/>
      <c r="BT61" s="267"/>
      <c r="BU61" s="267"/>
      <c r="BV61" s="267"/>
      <c r="BW61" s="267"/>
      <c r="BX61" s="267"/>
      <c r="BY61" s="267"/>
      <c r="BZ61" s="267"/>
      <c r="CA61" s="267"/>
      <c r="CB61" s="267"/>
      <c r="CC61" s="267"/>
      <c r="CD61" s="267"/>
      <c r="CE61" s="267"/>
      <c r="CF61" s="267"/>
      <c r="CG61" s="267"/>
      <c r="CH61" s="267"/>
      <c r="CI61" s="267"/>
      <c r="CJ61" s="267"/>
      <c r="CK61" s="267"/>
      <c r="CL61" s="267"/>
      <c r="CM61" s="267"/>
      <c r="CN61" s="267"/>
      <c r="CO61" s="267"/>
      <c r="CP61" s="267"/>
      <c r="CQ61" s="267"/>
      <c r="CR61" s="267"/>
      <c r="CS61" s="267"/>
      <c r="CT61" s="267"/>
      <c r="CU61" s="267"/>
      <c r="CV61" s="267"/>
      <c r="CW61" s="267"/>
      <c r="CX61" s="267"/>
      <c r="CY61" s="267"/>
      <c r="CZ61" s="267"/>
      <c r="DA61" s="267"/>
      <c r="DB61" s="267"/>
      <c r="DC61" s="267"/>
      <c r="DD61" s="267"/>
      <c r="DE61" s="267"/>
      <c r="DF61" s="267"/>
      <c r="DG61" s="267"/>
      <c r="DH61" s="267"/>
      <c r="DI61" s="267"/>
      <c r="DJ61" s="267"/>
      <c r="DK61" s="267"/>
      <c r="DL61" s="267"/>
      <c r="DM61" s="267"/>
      <c r="DN61" s="267"/>
      <c r="DO61" s="267"/>
      <c r="DP61" s="267"/>
      <c r="DQ61" s="267"/>
      <c r="DR61" s="267"/>
      <c r="DS61" s="267"/>
      <c r="DT61" s="267"/>
      <c r="DU61" s="267"/>
      <c r="DV61" s="267"/>
      <c r="DW61" s="267"/>
      <c r="DX61" s="267"/>
      <c r="DY61" s="267"/>
      <c r="DZ61" s="267"/>
      <c r="EA61" s="267"/>
      <c r="EB61" s="267"/>
      <c r="EC61" s="267"/>
      <c r="ED61" s="267"/>
      <c r="EE61" s="267"/>
      <c r="EF61" s="267"/>
      <c r="EG61" s="267"/>
      <c r="EH61" s="267"/>
      <c r="EI61" s="267"/>
      <c r="EJ61" s="267"/>
      <c r="EK61" s="267"/>
      <c r="EL61" s="267"/>
      <c r="EM61" s="267"/>
      <c r="EN61" s="267"/>
      <c r="EO61" s="267"/>
      <c r="EP61" s="267"/>
      <c r="EQ61" s="267"/>
      <c r="ER61" s="267"/>
      <c r="ES61" s="267"/>
      <c r="ET61" s="267"/>
      <c r="EU61" s="267"/>
      <c r="EV61" s="267"/>
      <c r="EW61" s="267"/>
      <c r="EX61" s="267"/>
      <c r="EY61" s="267"/>
      <c r="EZ61" s="267"/>
      <c r="FA61" s="267"/>
      <c r="FB61" s="267"/>
      <c r="FC61" s="267"/>
      <c r="FD61" s="267"/>
      <c r="FE61" s="267"/>
      <c r="FF61" s="267"/>
      <c r="FG61" s="267"/>
      <c r="FH61" s="267"/>
      <c r="FI61" s="267"/>
      <c r="FJ61" s="267"/>
      <c r="FK61" s="267"/>
      <c r="FL61" s="267"/>
      <c r="FM61" s="267"/>
      <c r="FN61" s="267"/>
      <c r="FO61" s="267"/>
      <c r="FP61" s="267"/>
      <c r="FQ61" s="267"/>
      <c r="FR61" s="267"/>
      <c r="FS61" s="267"/>
      <c r="FT61" s="267"/>
      <c r="FU61" s="267"/>
      <c r="FV61" s="267"/>
      <c r="FW61" s="267"/>
      <c r="FX61" s="267"/>
      <c r="FY61" s="267"/>
      <c r="FZ61" s="267"/>
      <c r="GA61" s="267"/>
      <c r="GB61" s="267"/>
      <c r="GC61" s="267"/>
      <c r="GD61" s="267"/>
      <c r="GE61" s="267"/>
      <c r="GF61" s="267"/>
      <c r="GG61" s="267"/>
      <c r="GH61" s="267"/>
      <c r="GI61" s="267"/>
      <c r="GJ61" s="267"/>
    </row>
    <row r="62" spans="2:192" s="3" customFormat="1" ht="16.2" thickBot="1">
      <c r="B62" s="227" t="s">
        <v>324</v>
      </c>
      <c r="C62" s="228"/>
      <c r="D62" s="229"/>
      <c r="E62" s="192"/>
      <c r="F62" s="227" t="s">
        <v>325</v>
      </c>
      <c r="G62" s="228"/>
      <c r="H62" s="229"/>
      <c r="I62" s="192"/>
      <c r="J62" s="227" t="s">
        <v>324</v>
      </c>
      <c r="K62" s="228"/>
      <c r="L62" s="229"/>
      <c r="M62" s="192"/>
      <c r="N62" s="268"/>
      <c r="O62" s="267"/>
      <c r="P62" s="267"/>
      <c r="Q62" s="267"/>
      <c r="R62" s="267"/>
      <c r="S62" s="267"/>
      <c r="T62" s="267"/>
      <c r="U62" s="267"/>
      <c r="V62" s="267"/>
      <c r="W62" s="267"/>
      <c r="X62" s="267"/>
      <c r="Y62" s="267"/>
      <c r="Z62" s="267"/>
      <c r="AA62" s="267"/>
      <c r="AB62" s="267"/>
      <c r="AC62" s="267"/>
      <c r="AD62" s="267"/>
      <c r="AE62" s="267"/>
      <c r="AF62" s="267"/>
      <c r="AG62" s="267"/>
      <c r="AH62" s="267"/>
      <c r="AI62" s="267"/>
      <c r="AJ62" s="267"/>
      <c r="AK62" s="267"/>
      <c r="AL62" s="267"/>
      <c r="AM62" s="267"/>
      <c r="AN62" s="267"/>
      <c r="AO62" s="267"/>
      <c r="AP62" s="267"/>
      <c r="AQ62" s="267"/>
      <c r="AR62" s="267"/>
      <c r="AS62" s="267"/>
      <c r="AT62" s="267"/>
      <c r="AU62" s="267"/>
      <c r="AV62" s="267"/>
      <c r="AW62" s="267"/>
      <c r="AX62" s="267"/>
      <c r="AY62" s="267"/>
      <c r="AZ62" s="267"/>
      <c r="BA62" s="267"/>
      <c r="BB62" s="267"/>
      <c r="BC62" s="267"/>
      <c r="BD62" s="267"/>
      <c r="BE62" s="267"/>
      <c r="BF62" s="267"/>
      <c r="BG62" s="267"/>
      <c r="BH62" s="267"/>
      <c r="BI62" s="267"/>
      <c r="BJ62" s="267"/>
      <c r="BK62" s="267"/>
      <c r="BL62" s="267"/>
      <c r="BM62" s="267"/>
      <c r="BN62" s="267"/>
      <c r="BO62" s="267"/>
      <c r="BP62" s="267"/>
      <c r="BQ62" s="267"/>
      <c r="BR62" s="267"/>
      <c r="BS62" s="267"/>
      <c r="BT62" s="267"/>
      <c r="BU62" s="267"/>
      <c r="BV62" s="267"/>
      <c r="BW62" s="267"/>
      <c r="BX62" s="267"/>
      <c r="BY62" s="267"/>
      <c r="BZ62" s="267"/>
      <c r="CA62" s="267"/>
      <c r="CB62" s="267"/>
      <c r="CC62" s="267"/>
      <c r="CD62" s="267"/>
      <c r="CE62" s="267"/>
      <c r="CF62" s="267"/>
      <c r="CG62" s="267"/>
      <c r="CH62" s="267"/>
      <c r="CI62" s="267"/>
      <c r="CJ62" s="267"/>
      <c r="CK62" s="267"/>
      <c r="CL62" s="267"/>
      <c r="CM62" s="267"/>
      <c r="CN62" s="267"/>
      <c r="CO62" s="267"/>
      <c r="CP62" s="267"/>
      <c r="CQ62" s="267"/>
      <c r="CR62" s="267"/>
      <c r="CS62" s="267"/>
      <c r="CT62" s="267"/>
      <c r="CU62" s="267"/>
      <c r="CV62" s="267"/>
      <c r="CW62" s="267"/>
      <c r="CX62" s="267"/>
      <c r="CY62" s="267"/>
      <c r="CZ62" s="267"/>
      <c r="DA62" s="267"/>
      <c r="DB62" s="267"/>
      <c r="DC62" s="267"/>
      <c r="DD62" s="267"/>
      <c r="DE62" s="267"/>
      <c r="DF62" s="267"/>
      <c r="DG62" s="267"/>
      <c r="DH62" s="267"/>
      <c r="DI62" s="267"/>
      <c r="DJ62" s="267"/>
      <c r="DK62" s="267"/>
      <c r="DL62" s="267"/>
      <c r="DM62" s="267"/>
      <c r="DN62" s="267"/>
      <c r="DO62" s="267"/>
      <c r="DP62" s="267"/>
      <c r="DQ62" s="267"/>
      <c r="DR62" s="267"/>
      <c r="DS62" s="267"/>
      <c r="DT62" s="267"/>
      <c r="DU62" s="267"/>
      <c r="DV62" s="267"/>
      <c r="DW62" s="267"/>
      <c r="DX62" s="267"/>
      <c r="DY62" s="267"/>
      <c r="DZ62" s="267"/>
      <c r="EA62" s="267"/>
      <c r="EB62" s="267"/>
      <c r="EC62" s="267"/>
      <c r="ED62" s="267"/>
      <c r="EE62" s="267"/>
      <c r="EF62" s="267"/>
      <c r="EG62" s="267"/>
      <c r="EH62" s="267"/>
      <c r="EI62" s="267"/>
      <c r="EJ62" s="267"/>
      <c r="EK62" s="267"/>
      <c r="EL62" s="267"/>
      <c r="EM62" s="267"/>
      <c r="EN62" s="267"/>
      <c r="EO62" s="267"/>
      <c r="EP62" s="267"/>
      <c r="EQ62" s="267"/>
      <c r="ER62" s="267"/>
      <c r="ES62" s="267"/>
      <c r="ET62" s="267"/>
      <c r="EU62" s="267"/>
      <c r="EV62" s="267"/>
      <c r="EW62" s="267"/>
      <c r="EX62" s="267"/>
      <c r="EY62" s="267"/>
      <c r="EZ62" s="267"/>
      <c r="FA62" s="267"/>
      <c r="FB62" s="267"/>
      <c r="FC62" s="267"/>
      <c r="FD62" s="267"/>
      <c r="FE62" s="267"/>
      <c r="FF62" s="267"/>
      <c r="FG62" s="267"/>
      <c r="FH62" s="267"/>
      <c r="FI62" s="267"/>
      <c r="FJ62" s="267"/>
      <c r="FK62" s="267"/>
      <c r="FL62" s="267"/>
      <c r="FM62" s="267"/>
      <c r="FN62" s="267"/>
      <c r="FO62" s="267"/>
      <c r="FP62" s="267"/>
      <c r="FQ62" s="267"/>
      <c r="FR62" s="267"/>
      <c r="FS62" s="267"/>
      <c r="FT62" s="267"/>
      <c r="FU62" s="267"/>
      <c r="FV62" s="267"/>
      <c r="FW62" s="267"/>
      <c r="FX62" s="267"/>
      <c r="FY62" s="267"/>
      <c r="FZ62" s="267"/>
      <c r="GA62" s="267"/>
      <c r="GB62" s="267"/>
      <c r="GC62" s="267"/>
      <c r="GD62" s="267"/>
      <c r="GE62" s="267"/>
      <c r="GF62" s="267"/>
      <c r="GG62" s="267"/>
      <c r="GH62" s="267"/>
      <c r="GI62" s="267"/>
      <c r="GJ62" s="267"/>
    </row>
    <row r="63" spans="2:192" s="3" customFormat="1">
      <c r="B63" s="192"/>
      <c r="C63" s="192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268"/>
      <c r="O63" s="267"/>
      <c r="P63" s="267"/>
      <c r="Q63" s="267"/>
      <c r="R63" s="267"/>
      <c r="S63" s="267"/>
      <c r="T63" s="267"/>
      <c r="U63" s="267"/>
      <c r="V63" s="267"/>
      <c r="W63" s="267"/>
      <c r="X63" s="267"/>
      <c r="Y63" s="267"/>
      <c r="Z63" s="267"/>
      <c r="AA63" s="267"/>
      <c r="AB63" s="267"/>
      <c r="AC63" s="267"/>
      <c r="AD63" s="267"/>
      <c r="AE63" s="267"/>
      <c r="AF63" s="267"/>
      <c r="AG63" s="267"/>
      <c r="AH63" s="267"/>
      <c r="AI63" s="267"/>
      <c r="AJ63" s="267"/>
      <c r="AK63" s="267"/>
      <c r="AL63" s="267"/>
      <c r="AM63" s="267"/>
      <c r="AN63" s="267"/>
      <c r="AO63" s="267"/>
      <c r="AP63" s="267"/>
      <c r="AQ63" s="267"/>
      <c r="AR63" s="267"/>
      <c r="AS63" s="267"/>
      <c r="AT63" s="267"/>
      <c r="AU63" s="267"/>
      <c r="AV63" s="267"/>
      <c r="AW63" s="267"/>
      <c r="AX63" s="267"/>
      <c r="AY63" s="267"/>
      <c r="AZ63" s="267"/>
      <c r="BA63" s="267"/>
      <c r="BB63" s="267"/>
      <c r="BC63" s="267"/>
      <c r="BD63" s="267"/>
      <c r="BE63" s="267"/>
      <c r="BF63" s="267"/>
      <c r="BG63" s="267"/>
      <c r="BH63" s="267"/>
      <c r="BI63" s="267"/>
      <c r="BJ63" s="267"/>
      <c r="BK63" s="267"/>
      <c r="BL63" s="267"/>
      <c r="BM63" s="267"/>
      <c r="BN63" s="267"/>
      <c r="BO63" s="267"/>
      <c r="BP63" s="267"/>
      <c r="BQ63" s="267"/>
      <c r="BR63" s="267"/>
      <c r="BS63" s="267"/>
      <c r="BT63" s="267"/>
      <c r="BU63" s="267"/>
      <c r="BV63" s="267"/>
      <c r="BW63" s="267"/>
      <c r="BX63" s="267"/>
      <c r="BY63" s="267"/>
      <c r="BZ63" s="267"/>
      <c r="CA63" s="267"/>
      <c r="CB63" s="267"/>
      <c r="CC63" s="267"/>
      <c r="CD63" s="267"/>
      <c r="CE63" s="267"/>
      <c r="CF63" s="267"/>
      <c r="CG63" s="267"/>
      <c r="CH63" s="267"/>
      <c r="CI63" s="267"/>
      <c r="CJ63" s="267"/>
      <c r="CK63" s="267"/>
      <c r="CL63" s="267"/>
      <c r="CM63" s="267"/>
      <c r="CN63" s="267"/>
      <c r="CO63" s="267"/>
      <c r="CP63" s="267"/>
      <c r="CQ63" s="267"/>
      <c r="CR63" s="267"/>
      <c r="CS63" s="267"/>
      <c r="CT63" s="267"/>
      <c r="CU63" s="267"/>
      <c r="CV63" s="267"/>
      <c r="CW63" s="267"/>
      <c r="CX63" s="267"/>
      <c r="CY63" s="267"/>
      <c r="CZ63" s="267"/>
      <c r="DA63" s="267"/>
      <c r="DB63" s="267"/>
      <c r="DC63" s="267"/>
      <c r="DD63" s="267"/>
      <c r="DE63" s="267"/>
      <c r="DF63" s="267"/>
      <c r="DG63" s="267"/>
      <c r="DH63" s="267"/>
      <c r="DI63" s="267"/>
      <c r="DJ63" s="267"/>
      <c r="DK63" s="267"/>
      <c r="DL63" s="267"/>
      <c r="DM63" s="267"/>
      <c r="DN63" s="267"/>
      <c r="DO63" s="267"/>
      <c r="DP63" s="267"/>
      <c r="DQ63" s="267"/>
      <c r="DR63" s="267"/>
      <c r="DS63" s="267"/>
      <c r="DT63" s="267"/>
      <c r="DU63" s="267"/>
      <c r="DV63" s="267"/>
      <c r="DW63" s="267"/>
      <c r="DX63" s="267"/>
      <c r="DY63" s="267"/>
      <c r="DZ63" s="267"/>
      <c r="EA63" s="267"/>
      <c r="EB63" s="267"/>
      <c r="EC63" s="267"/>
      <c r="ED63" s="267"/>
      <c r="EE63" s="267"/>
      <c r="EF63" s="267"/>
      <c r="EG63" s="267"/>
      <c r="EH63" s="267"/>
      <c r="EI63" s="267"/>
      <c r="EJ63" s="267"/>
      <c r="EK63" s="267"/>
      <c r="EL63" s="267"/>
      <c r="EM63" s="267"/>
      <c r="EN63" s="267"/>
      <c r="EO63" s="267"/>
      <c r="EP63" s="267"/>
      <c r="EQ63" s="267"/>
      <c r="ER63" s="267"/>
      <c r="ES63" s="267"/>
      <c r="ET63" s="267"/>
      <c r="EU63" s="267"/>
      <c r="EV63" s="267"/>
      <c r="EW63" s="267"/>
      <c r="EX63" s="267"/>
      <c r="EY63" s="267"/>
      <c r="EZ63" s="267"/>
      <c r="FA63" s="267"/>
      <c r="FB63" s="267"/>
      <c r="FC63" s="267"/>
      <c r="FD63" s="267"/>
      <c r="FE63" s="267"/>
      <c r="FF63" s="267"/>
      <c r="FG63" s="267"/>
      <c r="FH63" s="267"/>
      <c r="FI63" s="267"/>
      <c r="FJ63" s="267"/>
      <c r="FK63" s="267"/>
      <c r="FL63" s="267"/>
      <c r="FM63" s="267"/>
      <c r="FN63" s="267"/>
      <c r="FO63" s="267"/>
      <c r="FP63" s="267"/>
      <c r="FQ63" s="267"/>
      <c r="FR63" s="267"/>
      <c r="FS63" s="267"/>
      <c r="FT63" s="267"/>
      <c r="FU63" s="267"/>
      <c r="FV63" s="267"/>
      <c r="FW63" s="267"/>
      <c r="FX63" s="267"/>
      <c r="FY63" s="267"/>
      <c r="FZ63" s="267"/>
      <c r="GA63" s="267"/>
      <c r="GB63" s="267"/>
      <c r="GC63" s="267"/>
      <c r="GD63" s="267"/>
      <c r="GE63" s="267"/>
      <c r="GF63" s="267"/>
      <c r="GG63" s="267"/>
      <c r="GH63" s="267"/>
      <c r="GI63" s="267"/>
      <c r="GJ63" s="267"/>
    </row>
    <row r="64" spans="2:192"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</row>
    <row r="65" spans="2:13">
      <c r="B65" s="270"/>
      <c r="C65" s="270"/>
      <c r="D65" s="270"/>
      <c r="E65" s="270"/>
      <c r="F65" s="270"/>
      <c r="G65" s="270"/>
      <c r="H65" s="270"/>
      <c r="I65" s="270"/>
      <c r="J65" s="270"/>
      <c r="K65" s="270"/>
      <c r="L65" s="270"/>
      <c r="M65" s="270"/>
    </row>
    <row r="66" spans="2:13">
      <c r="B66" s="270"/>
      <c r="C66" s="270"/>
      <c r="D66" s="270"/>
      <c r="E66" s="270"/>
      <c r="F66" s="270"/>
      <c r="G66" s="270"/>
      <c r="H66" s="270"/>
      <c r="I66" s="270"/>
      <c r="J66" s="270"/>
      <c r="K66" s="270"/>
      <c r="L66" s="270"/>
      <c r="M66" s="270"/>
    </row>
    <row r="67" spans="2:13">
      <c r="B67" s="270"/>
      <c r="C67" s="270"/>
      <c r="D67" s="270"/>
      <c r="E67" s="270"/>
      <c r="F67" s="270"/>
      <c r="G67" s="270"/>
      <c r="H67" s="270"/>
      <c r="I67" s="270"/>
      <c r="J67" s="270"/>
      <c r="K67" s="270"/>
      <c r="L67" s="270"/>
      <c r="M67" s="270"/>
    </row>
    <row r="68" spans="2:13">
      <c r="B68" s="270"/>
      <c r="C68" s="270"/>
      <c r="D68" s="270"/>
      <c r="E68" s="270"/>
      <c r="F68" s="270"/>
      <c r="G68" s="270"/>
      <c r="H68" s="270"/>
      <c r="I68" s="270"/>
      <c r="J68" s="270"/>
      <c r="K68" s="270"/>
      <c r="L68" s="270"/>
      <c r="M68" s="270"/>
    </row>
    <row r="69" spans="2:13"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</row>
    <row r="70" spans="2:13" ht="16.2" thickBot="1">
      <c r="B70" s="269"/>
      <c r="C70" s="269"/>
      <c r="D70" s="269"/>
      <c r="E70" s="269"/>
      <c r="F70" s="269"/>
      <c r="G70" s="269"/>
      <c r="H70" s="269"/>
      <c r="I70" s="388"/>
      <c r="J70" s="269"/>
      <c r="K70" s="269"/>
      <c r="L70" s="269"/>
      <c r="M70" s="269"/>
    </row>
    <row r="71" spans="2:13">
      <c r="B71" s="269"/>
      <c r="C71" s="269"/>
      <c r="D71" s="269"/>
      <c r="E71" s="269"/>
      <c r="F71" s="269"/>
      <c r="G71" s="269"/>
      <c r="H71" s="269"/>
      <c r="I71" s="269"/>
      <c r="J71" s="269"/>
      <c r="K71" s="269"/>
      <c r="L71" s="269"/>
      <c r="M71" s="269"/>
    </row>
    <row r="72" spans="2:13">
      <c r="B72" s="269"/>
      <c r="C72" s="269"/>
      <c r="D72" s="269"/>
      <c r="E72" s="269"/>
      <c r="F72" s="269"/>
      <c r="G72" s="269"/>
      <c r="H72" s="269"/>
      <c r="I72" s="269"/>
      <c r="J72" s="269"/>
      <c r="K72" s="269"/>
      <c r="L72" s="269"/>
      <c r="M72" s="269"/>
    </row>
    <row r="73" spans="2:13">
      <c r="B73" s="269"/>
      <c r="C73" s="269"/>
      <c r="D73" s="269"/>
      <c r="E73" s="269"/>
      <c r="F73" s="269"/>
      <c r="G73" s="269"/>
      <c r="H73" s="269"/>
      <c r="I73" s="269"/>
      <c r="J73" s="269"/>
      <c r="K73" s="269"/>
      <c r="L73" s="269"/>
      <c r="M73" s="269"/>
    </row>
    <row r="74" spans="2:13">
      <c r="B74" s="269"/>
      <c r="C74" s="269"/>
      <c r="D74" s="269"/>
      <c r="E74" s="269"/>
      <c r="F74" s="269"/>
      <c r="G74" s="269"/>
      <c r="H74" s="269"/>
      <c r="I74" s="269"/>
      <c r="J74" s="269"/>
      <c r="K74" s="269"/>
      <c r="L74" s="269"/>
      <c r="M74" s="269"/>
    </row>
    <row r="75" spans="2:13">
      <c r="B75" s="269"/>
      <c r="C75" s="269"/>
      <c r="D75" s="269"/>
      <c r="E75" s="269"/>
      <c r="F75" s="269"/>
      <c r="G75" s="269"/>
      <c r="H75" s="269"/>
      <c r="I75" s="269"/>
      <c r="J75" s="269"/>
      <c r="K75" s="269"/>
      <c r="L75" s="269"/>
      <c r="M75" s="269"/>
    </row>
    <row r="76" spans="2:13">
      <c r="B76" s="269"/>
      <c r="C76" s="269"/>
      <c r="D76" s="269"/>
      <c r="E76" s="269"/>
      <c r="F76" s="269"/>
      <c r="G76" s="269"/>
      <c r="H76" s="269"/>
      <c r="I76" s="269"/>
      <c r="J76" s="269"/>
      <c r="K76" s="269"/>
      <c r="L76" s="269"/>
      <c r="M76" s="269"/>
    </row>
    <row r="77" spans="2:13">
      <c r="B77" s="269"/>
      <c r="C77" s="269"/>
      <c r="D77" s="269"/>
      <c r="E77" s="269"/>
      <c r="F77" s="269"/>
      <c r="G77" s="269"/>
      <c r="H77" s="269"/>
      <c r="I77" s="269"/>
      <c r="J77" s="269"/>
      <c r="K77" s="269"/>
      <c r="L77" s="269"/>
      <c r="M77" s="269"/>
    </row>
    <row r="78" spans="2:13">
      <c r="B78" s="269"/>
      <c r="C78" s="269"/>
      <c r="D78" s="269"/>
      <c r="E78" s="269"/>
      <c r="F78" s="269"/>
      <c r="G78" s="269"/>
      <c r="H78" s="269"/>
      <c r="I78" s="269"/>
      <c r="J78" s="269"/>
      <c r="K78" s="269"/>
      <c r="L78" s="269"/>
      <c r="M78" s="269"/>
    </row>
    <row r="79" spans="2:13">
      <c r="B79" s="269"/>
      <c r="C79" s="269"/>
      <c r="D79" s="269"/>
      <c r="E79" s="269"/>
      <c r="F79" s="269"/>
      <c r="G79" s="269"/>
      <c r="H79" s="269"/>
      <c r="I79" s="269"/>
      <c r="J79" s="269"/>
      <c r="K79" s="269"/>
      <c r="L79" s="269"/>
      <c r="M79" s="269"/>
    </row>
    <row r="80" spans="2:13">
      <c r="B80" s="269"/>
      <c r="C80" s="269"/>
      <c r="D80" s="269"/>
      <c r="E80" s="269"/>
      <c r="F80" s="269"/>
      <c r="G80" s="269"/>
      <c r="H80" s="269"/>
      <c r="I80" s="269"/>
      <c r="J80" s="269"/>
      <c r="K80" s="269"/>
      <c r="L80" s="269"/>
      <c r="M80" s="269"/>
    </row>
    <row r="81" spans="2:13">
      <c r="B81" s="269"/>
      <c r="C81" s="269"/>
      <c r="D81" s="269"/>
      <c r="E81" s="269"/>
      <c r="F81" s="269"/>
      <c r="G81" s="269"/>
      <c r="H81" s="269"/>
      <c r="I81" s="269"/>
      <c r="J81" s="269"/>
      <c r="K81" s="269"/>
      <c r="L81" s="269"/>
      <c r="M81" s="269"/>
    </row>
    <row r="82" spans="2:13">
      <c r="B82" s="269"/>
      <c r="C82" s="269"/>
      <c r="D82" s="269"/>
      <c r="E82" s="269"/>
      <c r="F82" s="269"/>
      <c r="G82" s="269"/>
      <c r="H82" s="269"/>
      <c r="I82" s="269"/>
      <c r="J82" s="269"/>
      <c r="K82" s="269"/>
      <c r="L82" s="269"/>
      <c r="M82" s="269"/>
    </row>
    <row r="83" spans="2:13">
      <c r="B83" s="269"/>
      <c r="C83" s="269"/>
      <c r="D83" s="269"/>
      <c r="E83" s="269"/>
      <c r="F83" s="269"/>
      <c r="G83" s="269"/>
      <c r="H83" s="269"/>
      <c r="I83" s="269"/>
      <c r="J83" s="269"/>
      <c r="K83" s="269"/>
      <c r="L83" s="269"/>
      <c r="M83" s="269"/>
    </row>
    <row r="84" spans="2:13">
      <c r="B84" s="269"/>
      <c r="C84" s="269"/>
      <c r="D84" s="269"/>
      <c r="E84" s="269"/>
      <c r="F84" s="269"/>
      <c r="G84" s="269"/>
      <c r="H84" s="269"/>
      <c r="I84" s="269"/>
      <c r="J84" s="269"/>
      <c r="K84" s="269"/>
      <c r="L84" s="269"/>
      <c r="M84" s="269"/>
    </row>
    <row r="85" spans="2:13">
      <c r="B85" s="269"/>
      <c r="C85" s="269"/>
      <c r="D85" s="269"/>
      <c r="E85" s="269"/>
      <c r="F85" s="269"/>
      <c r="G85" s="269"/>
      <c r="H85" s="269"/>
      <c r="I85" s="269"/>
      <c r="J85" s="269"/>
      <c r="K85" s="269"/>
      <c r="L85" s="269"/>
      <c r="M85" s="269"/>
    </row>
    <row r="86" spans="2:13">
      <c r="B86" s="269"/>
      <c r="C86" s="269"/>
      <c r="D86" s="269"/>
      <c r="E86" s="269"/>
      <c r="F86" s="269"/>
      <c r="G86" s="269"/>
      <c r="H86" s="269"/>
      <c r="I86" s="269"/>
      <c r="J86" s="269"/>
      <c r="K86" s="269"/>
      <c r="L86" s="269"/>
      <c r="M86" s="269"/>
    </row>
    <row r="87" spans="2:13">
      <c r="B87" s="269"/>
      <c r="C87" s="269"/>
      <c r="D87" s="269"/>
      <c r="E87" s="269"/>
      <c r="F87" s="269"/>
      <c r="G87" s="269"/>
      <c r="H87" s="269"/>
      <c r="I87" s="269"/>
      <c r="J87" s="269"/>
      <c r="K87" s="269"/>
      <c r="L87" s="269"/>
      <c r="M87" s="269"/>
    </row>
    <row r="88" spans="2:13">
      <c r="B88" s="269"/>
      <c r="C88" s="269"/>
      <c r="D88" s="269"/>
      <c r="E88" s="269"/>
      <c r="F88" s="269"/>
      <c r="G88" s="269"/>
      <c r="H88" s="269"/>
      <c r="I88" s="269"/>
      <c r="J88" s="269"/>
      <c r="K88" s="269"/>
      <c r="L88" s="269"/>
      <c r="M88" s="269"/>
    </row>
    <row r="89" spans="2:13">
      <c r="B89" s="269"/>
      <c r="C89" s="269"/>
      <c r="D89" s="269"/>
      <c r="E89" s="269"/>
      <c r="F89" s="269"/>
      <c r="G89" s="269"/>
      <c r="H89" s="269"/>
      <c r="I89" s="269"/>
      <c r="J89" s="269"/>
      <c r="K89" s="269"/>
      <c r="L89" s="269"/>
      <c r="M89" s="269"/>
    </row>
    <row r="90" spans="2:13">
      <c r="B90" s="269"/>
      <c r="C90" s="269"/>
      <c r="D90" s="269"/>
      <c r="E90" s="269"/>
      <c r="F90" s="269"/>
      <c r="G90" s="269"/>
      <c r="H90" s="269"/>
      <c r="I90" s="269"/>
      <c r="J90" s="269"/>
      <c r="K90" s="269"/>
      <c r="L90" s="269"/>
      <c r="M90" s="269"/>
    </row>
    <row r="91" spans="2:13">
      <c r="B91" s="269"/>
      <c r="C91" s="269"/>
      <c r="D91" s="269"/>
      <c r="E91" s="269"/>
      <c r="F91" s="269"/>
      <c r="G91" s="269"/>
      <c r="H91" s="269"/>
      <c r="I91" s="269"/>
      <c r="J91" s="269"/>
      <c r="K91" s="269"/>
      <c r="L91" s="269"/>
      <c r="M91" s="269"/>
    </row>
    <row r="92" spans="2:13">
      <c r="B92" s="269"/>
      <c r="C92" s="269"/>
      <c r="D92" s="269"/>
      <c r="E92" s="269"/>
      <c r="F92" s="269"/>
      <c r="G92" s="269"/>
      <c r="H92" s="269"/>
      <c r="I92" s="269"/>
      <c r="J92" s="269"/>
      <c r="K92" s="269"/>
      <c r="L92" s="269"/>
      <c r="M92" s="269"/>
    </row>
    <row r="93" spans="2:13">
      <c r="B93" s="269"/>
      <c r="C93" s="269"/>
      <c r="D93" s="269"/>
      <c r="E93" s="269"/>
      <c r="F93" s="269"/>
      <c r="G93" s="269"/>
      <c r="H93" s="269"/>
      <c r="I93" s="269"/>
      <c r="J93" s="269"/>
      <c r="K93" s="269"/>
      <c r="L93" s="269"/>
      <c r="M93" s="269"/>
    </row>
    <row r="94" spans="2:13">
      <c r="B94" s="269"/>
      <c r="C94" s="269"/>
      <c r="D94" s="269"/>
      <c r="E94" s="269"/>
      <c r="F94" s="269"/>
      <c r="G94" s="269"/>
      <c r="H94" s="269"/>
      <c r="I94" s="269"/>
      <c r="J94" s="269"/>
      <c r="K94" s="269"/>
      <c r="L94" s="269"/>
      <c r="M94" s="269"/>
    </row>
    <row r="95" spans="2:13">
      <c r="B95" s="269"/>
      <c r="C95" s="269"/>
      <c r="D95" s="269"/>
      <c r="E95" s="269"/>
      <c r="F95" s="269"/>
      <c r="G95" s="269"/>
      <c r="H95" s="269"/>
      <c r="I95" s="269"/>
      <c r="J95" s="269"/>
      <c r="K95" s="269"/>
      <c r="L95" s="269"/>
      <c r="M95" s="269"/>
    </row>
    <row r="96" spans="2:13">
      <c r="B96" s="269"/>
      <c r="C96" s="269"/>
      <c r="D96" s="269"/>
      <c r="E96" s="269"/>
      <c r="F96" s="269"/>
      <c r="G96" s="269"/>
      <c r="H96" s="269"/>
      <c r="I96" s="269"/>
      <c r="J96" s="269"/>
      <c r="K96" s="269"/>
      <c r="L96" s="269"/>
      <c r="M96" s="269"/>
    </row>
    <row r="97" spans="2:13">
      <c r="B97" s="269"/>
      <c r="C97" s="269"/>
      <c r="D97" s="269"/>
      <c r="E97" s="269"/>
      <c r="F97" s="269"/>
      <c r="G97" s="269"/>
      <c r="H97" s="269"/>
      <c r="I97" s="269"/>
      <c r="J97" s="269"/>
      <c r="K97" s="269"/>
      <c r="L97" s="269"/>
      <c r="M97" s="269"/>
    </row>
    <row r="98" spans="2:13">
      <c r="B98" s="269"/>
      <c r="C98" s="269"/>
      <c r="D98" s="269"/>
      <c r="E98" s="269"/>
      <c r="F98" s="269"/>
      <c r="G98" s="269"/>
      <c r="H98" s="269"/>
      <c r="I98" s="269"/>
      <c r="J98" s="269"/>
      <c r="K98" s="269"/>
      <c r="L98" s="269"/>
      <c r="M98" s="269"/>
    </row>
    <row r="99" spans="2:13">
      <c r="B99" s="269"/>
      <c r="C99" s="269"/>
      <c r="D99" s="269"/>
      <c r="E99" s="269"/>
      <c r="F99" s="269"/>
      <c r="G99" s="269"/>
      <c r="H99" s="269"/>
      <c r="I99" s="269"/>
      <c r="J99" s="269"/>
      <c r="K99" s="269"/>
      <c r="L99" s="269"/>
      <c r="M99" s="269"/>
    </row>
    <row r="100" spans="2:13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  <c r="L100" s="269"/>
      <c r="M100" s="269"/>
    </row>
    <row r="101" spans="2:13">
      <c r="B101" s="269"/>
      <c r="C101" s="269"/>
      <c r="D101" s="269"/>
      <c r="E101" s="269"/>
      <c r="F101" s="269"/>
      <c r="G101" s="269"/>
      <c r="H101" s="269"/>
      <c r="I101" s="269"/>
      <c r="J101" s="269"/>
      <c r="K101" s="269"/>
      <c r="L101" s="269"/>
      <c r="M101" s="269"/>
    </row>
    <row r="102" spans="2:13">
      <c r="B102" s="269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</row>
    <row r="103" spans="2:13">
      <c r="B103" s="269"/>
      <c r="C103" s="269"/>
      <c r="D103" s="269"/>
      <c r="E103" s="269"/>
      <c r="F103" s="269"/>
      <c r="G103" s="269"/>
      <c r="H103" s="269"/>
      <c r="I103" s="269"/>
      <c r="J103" s="269"/>
      <c r="K103" s="269"/>
      <c r="L103" s="269"/>
      <c r="M103" s="269"/>
    </row>
    <row r="104" spans="2:13">
      <c r="B104" s="269"/>
      <c r="C104" s="269"/>
      <c r="D104" s="269"/>
      <c r="E104" s="269"/>
      <c r="F104" s="269"/>
      <c r="G104" s="269"/>
      <c r="H104" s="269"/>
      <c r="I104" s="269"/>
      <c r="J104" s="269"/>
      <c r="K104" s="269"/>
      <c r="L104" s="269"/>
      <c r="M104" s="269"/>
    </row>
    <row r="105" spans="2:13">
      <c r="B105" s="269"/>
      <c r="C105" s="269"/>
      <c r="D105" s="269"/>
      <c r="E105" s="269"/>
      <c r="F105" s="269"/>
      <c r="G105" s="269"/>
      <c r="H105" s="269"/>
      <c r="I105" s="269"/>
      <c r="J105" s="269"/>
      <c r="K105" s="269"/>
      <c r="L105" s="269"/>
      <c r="M105" s="269"/>
    </row>
    <row r="106" spans="2:13">
      <c r="B106" s="269"/>
      <c r="C106" s="269"/>
      <c r="D106" s="269"/>
      <c r="E106" s="269"/>
      <c r="F106" s="269"/>
      <c r="G106" s="269"/>
      <c r="H106" s="269"/>
      <c r="I106" s="269"/>
      <c r="J106" s="269"/>
      <c r="K106" s="269"/>
      <c r="L106" s="269"/>
      <c r="M106" s="269"/>
    </row>
    <row r="107" spans="2:13">
      <c r="B107" s="269"/>
      <c r="C107" s="269"/>
      <c r="D107" s="269"/>
      <c r="E107" s="269"/>
      <c r="F107" s="269"/>
      <c r="G107" s="269"/>
      <c r="H107" s="269"/>
      <c r="I107" s="269"/>
      <c r="J107" s="269"/>
      <c r="K107" s="269"/>
      <c r="L107" s="269"/>
      <c r="M107" s="269"/>
    </row>
    <row r="108" spans="2:13">
      <c r="B108" s="269"/>
      <c r="C108" s="269"/>
      <c r="D108" s="269"/>
      <c r="E108" s="269"/>
      <c r="F108" s="269"/>
      <c r="G108" s="269"/>
      <c r="H108" s="269"/>
      <c r="I108" s="269"/>
      <c r="J108" s="269"/>
      <c r="K108" s="269"/>
      <c r="L108" s="269"/>
      <c r="M108" s="269"/>
    </row>
    <row r="109" spans="2:13">
      <c r="B109" s="269"/>
      <c r="C109" s="269"/>
      <c r="D109" s="269"/>
      <c r="E109" s="269"/>
      <c r="F109" s="269"/>
      <c r="G109" s="269"/>
      <c r="H109" s="269"/>
      <c r="I109" s="269"/>
      <c r="J109" s="269"/>
      <c r="K109" s="269"/>
      <c r="L109" s="269"/>
      <c r="M109" s="269"/>
    </row>
    <row r="110" spans="2:13">
      <c r="B110" s="269"/>
      <c r="C110" s="269"/>
      <c r="D110" s="269"/>
      <c r="E110" s="269"/>
      <c r="F110" s="269"/>
      <c r="G110" s="269"/>
      <c r="H110" s="269"/>
      <c r="I110" s="269"/>
      <c r="J110" s="269"/>
      <c r="K110" s="269"/>
      <c r="L110" s="269"/>
      <c r="M110" s="269"/>
    </row>
    <row r="111" spans="2:13">
      <c r="B111" s="269"/>
      <c r="C111" s="269"/>
      <c r="D111" s="269"/>
      <c r="E111" s="269"/>
      <c r="F111" s="269"/>
      <c r="G111" s="269"/>
      <c r="H111" s="269"/>
      <c r="I111" s="269"/>
      <c r="J111" s="269"/>
      <c r="K111" s="269"/>
      <c r="L111" s="269"/>
      <c r="M111" s="269"/>
    </row>
    <row r="112" spans="2:13">
      <c r="B112" s="269"/>
      <c r="C112" s="269"/>
      <c r="D112" s="269"/>
      <c r="E112" s="269"/>
      <c r="F112" s="269"/>
      <c r="G112" s="269"/>
      <c r="H112" s="269"/>
      <c r="I112" s="269"/>
      <c r="J112" s="269"/>
      <c r="K112" s="269"/>
      <c r="L112" s="269"/>
      <c r="M112" s="269"/>
    </row>
    <row r="113" spans="2:13">
      <c r="B113" s="269"/>
      <c r="C113" s="269"/>
      <c r="D113" s="269"/>
      <c r="E113" s="269"/>
      <c r="F113" s="269"/>
      <c r="G113" s="269"/>
      <c r="H113" s="269"/>
      <c r="I113" s="269"/>
      <c r="J113" s="269"/>
      <c r="K113" s="269"/>
      <c r="L113" s="269"/>
      <c r="M113" s="269"/>
    </row>
    <row r="114" spans="2:13">
      <c r="B114" s="269"/>
      <c r="C114" s="269"/>
      <c r="D114" s="269"/>
      <c r="E114" s="269"/>
      <c r="F114" s="269"/>
      <c r="G114" s="269"/>
      <c r="H114" s="269"/>
      <c r="I114" s="269"/>
      <c r="J114" s="269"/>
      <c r="K114" s="269"/>
      <c r="L114" s="269"/>
      <c r="M114" s="269"/>
    </row>
    <row r="115" spans="2:13">
      <c r="B115" s="269"/>
      <c r="C115" s="269"/>
      <c r="D115" s="269"/>
      <c r="E115" s="269"/>
      <c r="F115" s="269"/>
      <c r="G115" s="269"/>
      <c r="H115" s="269"/>
      <c r="I115" s="269"/>
      <c r="J115" s="269"/>
      <c r="K115" s="269"/>
      <c r="L115" s="269"/>
      <c r="M115" s="269"/>
    </row>
    <row r="116" spans="2:13">
      <c r="B116" s="269"/>
      <c r="C116" s="269"/>
      <c r="D116" s="269"/>
      <c r="E116" s="269"/>
      <c r="F116" s="269"/>
      <c r="G116" s="269"/>
      <c r="H116" s="269"/>
      <c r="I116" s="269"/>
      <c r="J116" s="269"/>
      <c r="K116" s="269"/>
      <c r="L116" s="269"/>
      <c r="M116" s="269"/>
    </row>
    <row r="117" spans="2:13">
      <c r="B117" s="269"/>
      <c r="C117" s="269"/>
      <c r="D117" s="269"/>
      <c r="E117" s="269"/>
      <c r="F117" s="269"/>
      <c r="G117" s="269"/>
      <c r="H117" s="269"/>
      <c r="I117" s="269"/>
      <c r="J117" s="269"/>
      <c r="K117" s="269"/>
      <c r="L117" s="269"/>
      <c r="M117" s="269"/>
    </row>
    <row r="118" spans="2:13">
      <c r="B118" s="269"/>
      <c r="C118" s="269"/>
      <c r="D118" s="269"/>
      <c r="E118" s="269"/>
      <c r="F118" s="269"/>
      <c r="G118" s="269"/>
      <c r="H118" s="269"/>
      <c r="I118" s="269"/>
      <c r="J118" s="269"/>
      <c r="K118" s="269"/>
      <c r="L118" s="269"/>
      <c r="M118" s="269"/>
    </row>
    <row r="119" spans="2:13">
      <c r="B119" s="269"/>
      <c r="C119" s="269"/>
      <c r="D119" s="269"/>
      <c r="E119" s="269"/>
      <c r="F119" s="269"/>
      <c r="G119" s="269"/>
      <c r="H119" s="269"/>
      <c r="I119" s="269"/>
      <c r="J119" s="269"/>
      <c r="K119" s="269"/>
      <c r="L119" s="269"/>
      <c r="M119" s="269"/>
    </row>
    <row r="120" spans="2:13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  <c r="L120" s="269"/>
      <c r="M120" s="269"/>
    </row>
    <row r="121" spans="2:13">
      <c r="B121" s="269"/>
      <c r="C121" s="269"/>
      <c r="D121" s="269"/>
      <c r="E121" s="269"/>
      <c r="F121" s="269"/>
      <c r="G121" s="269"/>
      <c r="H121" s="269"/>
      <c r="I121" s="269"/>
      <c r="J121" s="269"/>
      <c r="K121" s="269"/>
      <c r="L121" s="269"/>
      <c r="M121" s="269"/>
    </row>
    <row r="122" spans="2:13">
      <c r="B122" s="269"/>
      <c r="C122" s="269"/>
      <c r="D122" s="269"/>
      <c r="E122" s="269"/>
      <c r="F122" s="269"/>
      <c r="G122" s="269"/>
      <c r="H122" s="269"/>
      <c r="I122" s="269"/>
      <c r="J122" s="269"/>
      <c r="K122" s="269"/>
      <c r="L122" s="269"/>
      <c r="M122" s="269"/>
    </row>
    <row r="123" spans="2:13">
      <c r="B123" s="269"/>
      <c r="C123" s="269"/>
      <c r="D123" s="269"/>
      <c r="E123" s="269"/>
      <c r="F123" s="269"/>
      <c r="G123" s="269"/>
      <c r="H123" s="269"/>
      <c r="I123" s="269"/>
      <c r="J123" s="269"/>
      <c r="K123" s="269"/>
      <c r="L123" s="269"/>
      <c r="M123" s="269"/>
    </row>
    <row r="124" spans="2:13">
      <c r="B124" s="269"/>
      <c r="C124" s="269"/>
      <c r="D124" s="269"/>
      <c r="E124" s="269"/>
      <c r="F124" s="269"/>
      <c r="G124" s="269"/>
      <c r="H124" s="269"/>
      <c r="I124" s="269"/>
      <c r="J124" s="269"/>
      <c r="K124" s="269"/>
      <c r="L124" s="269"/>
      <c r="M124" s="269"/>
    </row>
    <row r="125" spans="2:13">
      <c r="B125" s="269"/>
      <c r="C125" s="269"/>
      <c r="D125" s="269"/>
      <c r="E125" s="269"/>
      <c r="F125" s="269"/>
      <c r="G125" s="269"/>
      <c r="H125" s="269"/>
      <c r="I125" s="269"/>
      <c r="J125" s="269"/>
      <c r="K125" s="269"/>
      <c r="L125" s="269"/>
      <c r="M125" s="269"/>
    </row>
    <row r="126" spans="2:13">
      <c r="B126" s="269"/>
      <c r="C126" s="269"/>
      <c r="D126" s="269"/>
      <c r="E126" s="269"/>
      <c r="F126" s="269"/>
      <c r="G126" s="269"/>
      <c r="H126" s="269"/>
      <c r="I126" s="269"/>
      <c r="J126" s="269"/>
      <c r="K126" s="269"/>
      <c r="L126" s="269"/>
      <c r="M126" s="269"/>
    </row>
    <row r="127" spans="2:13">
      <c r="B127" s="269"/>
      <c r="C127" s="269"/>
      <c r="D127" s="269"/>
      <c r="E127" s="269"/>
      <c r="F127" s="269"/>
      <c r="G127" s="269"/>
      <c r="H127" s="269"/>
      <c r="I127" s="269"/>
      <c r="J127" s="269"/>
      <c r="K127" s="269"/>
      <c r="L127" s="269"/>
      <c r="M127" s="269"/>
    </row>
    <row r="128" spans="2:13">
      <c r="B128" s="269"/>
      <c r="C128" s="269"/>
      <c r="D128" s="269"/>
      <c r="E128" s="269"/>
      <c r="F128" s="269"/>
      <c r="G128" s="269"/>
      <c r="H128" s="269"/>
      <c r="I128" s="269"/>
      <c r="J128" s="269"/>
      <c r="K128" s="269"/>
      <c r="L128" s="269"/>
      <c r="M128" s="269"/>
    </row>
    <row r="129" spans="2:13">
      <c r="B129" s="269"/>
      <c r="C129" s="269"/>
      <c r="D129" s="269"/>
      <c r="E129" s="269"/>
      <c r="F129" s="269"/>
      <c r="G129" s="269"/>
      <c r="H129" s="269"/>
      <c r="I129" s="269"/>
      <c r="J129" s="269"/>
      <c r="K129" s="269"/>
      <c r="L129" s="269"/>
      <c r="M129" s="269"/>
    </row>
    <row r="130" spans="2:13">
      <c r="B130" s="269"/>
      <c r="C130" s="269"/>
      <c r="D130" s="269"/>
      <c r="E130" s="269"/>
      <c r="F130" s="269"/>
      <c r="G130" s="269"/>
      <c r="H130" s="269"/>
      <c r="I130" s="269"/>
      <c r="J130" s="269"/>
      <c r="K130" s="269"/>
      <c r="L130" s="269"/>
      <c r="M130" s="269"/>
    </row>
    <row r="131" spans="2:13">
      <c r="B131" s="269"/>
      <c r="C131" s="269"/>
      <c r="D131" s="269"/>
      <c r="E131" s="269"/>
      <c r="F131" s="269"/>
      <c r="G131" s="269"/>
      <c r="H131" s="269"/>
      <c r="I131" s="269"/>
      <c r="J131" s="269"/>
      <c r="K131" s="269"/>
      <c r="L131" s="269"/>
      <c r="M131" s="269"/>
    </row>
    <row r="132" spans="2:13">
      <c r="B132" s="269"/>
      <c r="C132" s="269"/>
      <c r="D132" s="269"/>
      <c r="E132" s="269"/>
      <c r="F132" s="269"/>
      <c r="G132" s="269"/>
      <c r="H132" s="269"/>
      <c r="I132" s="269"/>
      <c r="J132" s="269"/>
      <c r="K132" s="269"/>
      <c r="L132" s="269"/>
      <c r="M132" s="269"/>
    </row>
    <row r="133" spans="2:13">
      <c r="B133" s="269"/>
      <c r="C133" s="269"/>
      <c r="D133" s="269"/>
      <c r="E133" s="269"/>
      <c r="F133" s="269"/>
      <c r="G133" s="269"/>
      <c r="H133" s="269"/>
      <c r="I133" s="269"/>
      <c r="J133" s="269"/>
      <c r="K133" s="269"/>
      <c r="L133" s="269"/>
      <c r="M133" s="269"/>
    </row>
    <row r="134" spans="2:13">
      <c r="B134" s="269"/>
      <c r="C134" s="269"/>
      <c r="D134" s="269"/>
      <c r="E134" s="269"/>
      <c r="F134" s="269"/>
      <c r="G134" s="269"/>
      <c r="H134" s="269"/>
      <c r="I134" s="269"/>
      <c r="J134" s="269"/>
      <c r="K134" s="269"/>
      <c r="L134" s="269"/>
      <c r="M134" s="269"/>
    </row>
    <row r="135" spans="2:13">
      <c r="B135" s="269"/>
      <c r="C135" s="269"/>
      <c r="D135" s="269"/>
      <c r="E135" s="269"/>
      <c r="F135" s="269"/>
      <c r="G135" s="269"/>
      <c r="H135" s="269"/>
      <c r="I135" s="269"/>
      <c r="J135" s="269"/>
      <c r="K135" s="269"/>
      <c r="L135" s="269"/>
      <c r="M135" s="269"/>
    </row>
    <row r="136" spans="2:13">
      <c r="B136" s="269"/>
      <c r="C136" s="269"/>
      <c r="D136" s="269"/>
      <c r="E136" s="269"/>
      <c r="F136" s="269"/>
      <c r="G136" s="269"/>
      <c r="H136" s="269"/>
      <c r="I136" s="269"/>
      <c r="J136" s="269"/>
      <c r="K136" s="269"/>
      <c r="L136" s="269"/>
      <c r="M136" s="269"/>
    </row>
    <row r="137" spans="2:13">
      <c r="B137" s="269"/>
      <c r="C137" s="269"/>
      <c r="D137" s="269"/>
      <c r="E137" s="269"/>
      <c r="F137" s="269"/>
      <c r="G137" s="269"/>
      <c r="H137" s="269"/>
      <c r="I137" s="269"/>
      <c r="J137" s="269"/>
      <c r="K137" s="269"/>
      <c r="L137" s="269"/>
      <c r="M137" s="269"/>
    </row>
    <row r="138" spans="2:13">
      <c r="B138" s="269"/>
      <c r="C138" s="269"/>
      <c r="D138" s="269"/>
      <c r="E138" s="269"/>
      <c r="F138" s="269"/>
      <c r="G138" s="269"/>
      <c r="H138" s="269"/>
      <c r="I138" s="269"/>
      <c r="J138" s="269"/>
      <c r="K138" s="269"/>
      <c r="L138" s="269"/>
      <c r="M138" s="269"/>
    </row>
    <row r="139" spans="2:13">
      <c r="B139" s="269"/>
      <c r="C139" s="269"/>
      <c r="D139" s="269"/>
      <c r="E139" s="269"/>
      <c r="F139" s="269"/>
      <c r="G139" s="269"/>
      <c r="H139" s="269"/>
      <c r="I139" s="269"/>
      <c r="J139" s="269"/>
      <c r="K139" s="269"/>
      <c r="L139" s="269"/>
      <c r="M139" s="269"/>
    </row>
    <row r="140" spans="2:13">
      <c r="B140" s="269"/>
      <c r="C140" s="269"/>
      <c r="D140" s="269"/>
      <c r="E140" s="269"/>
      <c r="F140" s="269"/>
      <c r="G140" s="269"/>
      <c r="H140" s="269"/>
      <c r="I140" s="269"/>
      <c r="J140" s="269"/>
      <c r="K140" s="269"/>
      <c r="L140" s="269"/>
      <c r="M140" s="269"/>
    </row>
    <row r="141" spans="2:13">
      <c r="B141" s="269"/>
      <c r="C141" s="269"/>
      <c r="D141" s="269"/>
      <c r="E141" s="269"/>
      <c r="F141" s="269"/>
      <c r="G141" s="269"/>
      <c r="H141" s="269"/>
      <c r="I141" s="269"/>
      <c r="J141" s="269"/>
      <c r="K141" s="269"/>
      <c r="L141" s="269"/>
      <c r="M141" s="269"/>
    </row>
    <row r="142" spans="2:13">
      <c r="B142" s="269"/>
      <c r="C142" s="269"/>
      <c r="D142" s="269"/>
      <c r="E142" s="269"/>
      <c r="F142" s="269"/>
      <c r="G142" s="269"/>
      <c r="H142" s="269"/>
      <c r="I142" s="269"/>
      <c r="J142" s="269"/>
      <c r="K142" s="269"/>
      <c r="L142" s="269"/>
      <c r="M142" s="269"/>
    </row>
    <row r="143" spans="2:13">
      <c r="B143" s="269"/>
      <c r="C143" s="269"/>
      <c r="D143" s="269"/>
      <c r="E143" s="269"/>
      <c r="F143" s="269"/>
      <c r="G143" s="269"/>
      <c r="H143" s="269"/>
      <c r="I143" s="269"/>
      <c r="J143" s="269"/>
      <c r="K143" s="269"/>
      <c r="L143" s="269"/>
      <c r="M143" s="269"/>
    </row>
    <row r="144" spans="2:13">
      <c r="B144" s="269"/>
      <c r="C144" s="269"/>
      <c r="D144" s="269"/>
      <c r="E144" s="269"/>
      <c r="F144" s="269"/>
      <c r="G144" s="269"/>
      <c r="H144" s="269"/>
      <c r="I144" s="269"/>
      <c r="J144" s="269"/>
      <c r="K144" s="269"/>
      <c r="L144" s="269"/>
      <c r="M144" s="269"/>
    </row>
    <row r="145" spans="2:13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  <c r="L145" s="269"/>
      <c r="M145" s="269"/>
    </row>
    <row r="146" spans="2:13">
      <c r="B146" s="269"/>
      <c r="C146" s="269"/>
      <c r="D146" s="269"/>
      <c r="E146" s="269"/>
      <c r="F146" s="269"/>
      <c r="G146" s="269"/>
      <c r="H146" s="269"/>
      <c r="I146" s="269"/>
      <c r="J146" s="269"/>
      <c r="K146" s="269"/>
      <c r="L146" s="269"/>
      <c r="M146" s="269"/>
    </row>
    <row r="147" spans="2:13">
      <c r="B147" s="269"/>
      <c r="C147" s="269"/>
      <c r="D147" s="269"/>
      <c r="E147" s="269"/>
      <c r="F147" s="269"/>
      <c r="G147" s="269"/>
      <c r="H147" s="269"/>
      <c r="I147" s="269"/>
      <c r="J147" s="269"/>
      <c r="K147" s="269"/>
      <c r="L147" s="269"/>
      <c r="M147" s="269"/>
    </row>
    <row r="148" spans="2:13">
      <c r="B148" s="269"/>
      <c r="C148" s="269"/>
      <c r="D148" s="269"/>
      <c r="E148" s="269"/>
      <c r="F148" s="269"/>
      <c r="G148" s="269"/>
      <c r="H148" s="269"/>
      <c r="I148" s="269"/>
      <c r="J148" s="269"/>
      <c r="K148" s="269"/>
      <c r="L148" s="269"/>
      <c r="M148" s="269"/>
    </row>
    <row r="149" spans="2:13">
      <c r="B149" s="269"/>
      <c r="C149" s="269"/>
      <c r="D149" s="269"/>
      <c r="E149" s="269"/>
      <c r="F149" s="269"/>
      <c r="G149" s="269"/>
      <c r="H149" s="269"/>
      <c r="I149" s="269"/>
      <c r="J149" s="269"/>
      <c r="K149" s="269"/>
      <c r="L149" s="269"/>
      <c r="M149" s="269"/>
    </row>
    <row r="150" spans="2:13">
      <c r="B150" s="269"/>
      <c r="C150" s="269"/>
      <c r="D150" s="269"/>
      <c r="E150" s="269"/>
      <c r="F150" s="269"/>
      <c r="G150" s="269"/>
      <c r="H150" s="269"/>
      <c r="I150" s="269"/>
      <c r="J150" s="269"/>
      <c r="K150" s="269"/>
      <c r="L150" s="269"/>
      <c r="M150" s="269"/>
    </row>
    <row r="151" spans="2:13">
      <c r="B151" s="269"/>
      <c r="C151" s="269"/>
      <c r="D151" s="269"/>
      <c r="E151" s="269"/>
      <c r="F151" s="269"/>
      <c r="G151" s="269"/>
      <c r="H151" s="269"/>
      <c r="I151" s="269"/>
      <c r="J151" s="269"/>
      <c r="K151" s="269"/>
      <c r="L151" s="269"/>
      <c r="M151" s="269"/>
    </row>
    <row r="152" spans="2:13">
      <c r="B152" s="269"/>
      <c r="C152" s="269"/>
      <c r="D152" s="269"/>
      <c r="E152" s="269"/>
      <c r="F152" s="269"/>
      <c r="G152" s="269"/>
      <c r="H152" s="269"/>
      <c r="I152" s="269"/>
      <c r="J152" s="269"/>
      <c r="K152" s="269"/>
      <c r="L152" s="269"/>
      <c r="M152" s="269"/>
    </row>
    <row r="153" spans="2:13">
      <c r="B153" s="269"/>
      <c r="C153" s="269"/>
      <c r="D153" s="269"/>
      <c r="E153" s="269"/>
      <c r="F153" s="269"/>
      <c r="G153" s="269"/>
      <c r="H153" s="269"/>
      <c r="I153" s="269"/>
      <c r="J153" s="269"/>
      <c r="K153" s="269"/>
      <c r="L153" s="269"/>
      <c r="M153" s="269"/>
    </row>
    <row r="154" spans="2:13">
      <c r="B154" s="269"/>
      <c r="C154" s="269"/>
      <c r="D154" s="269"/>
      <c r="E154" s="269"/>
      <c r="F154" s="269"/>
      <c r="G154" s="269"/>
      <c r="H154" s="269"/>
      <c r="I154" s="269"/>
      <c r="J154" s="269"/>
      <c r="K154" s="269"/>
      <c r="L154" s="269"/>
      <c r="M154" s="269"/>
    </row>
    <row r="155" spans="2:13">
      <c r="B155" s="269"/>
      <c r="C155" s="269"/>
      <c r="D155" s="269"/>
      <c r="E155" s="269"/>
      <c r="F155" s="269"/>
      <c r="G155" s="269"/>
      <c r="H155" s="269"/>
      <c r="I155" s="269"/>
      <c r="J155" s="269"/>
      <c r="K155" s="269"/>
      <c r="L155" s="269"/>
      <c r="M155" s="269"/>
    </row>
    <row r="156" spans="2:13">
      <c r="B156" s="269"/>
      <c r="C156" s="269"/>
      <c r="D156" s="269"/>
      <c r="E156" s="269"/>
      <c r="F156" s="269"/>
      <c r="G156" s="269"/>
      <c r="H156" s="269"/>
      <c r="I156" s="269"/>
      <c r="J156" s="269"/>
      <c r="K156" s="269"/>
      <c r="L156" s="269"/>
      <c r="M156" s="269"/>
    </row>
    <row r="157" spans="2:13">
      <c r="B157" s="269"/>
      <c r="C157" s="269"/>
      <c r="D157" s="269"/>
      <c r="E157" s="269"/>
      <c r="F157" s="269"/>
      <c r="G157" s="269"/>
      <c r="H157" s="269"/>
      <c r="I157" s="269"/>
      <c r="J157" s="269"/>
      <c r="K157" s="269"/>
      <c r="L157" s="269"/>
      <c r="M157" s="269"/>
    </row>
    <row r="158" spans="2:13">
      <c r="B158" s="269"/>
      <c r="C158" s="269"/>
      <c r="D158" s="269"/>
      <c r="E158" s="269"/>
      <c r="F158" s="269"/>
      <c r="G158" s="269"/>
      <c r="H158" s="269"/>
      <c r="I158" s="269"/>
      <c r="J158" s="269"/>
      <c r="K158" s="269"/>
      <c r="L158" s="269"/>
      <c r="M158" s="269"/>
    </row>
    <row r="159" spans="2:13">
      <c r="B159" s="269"/>
      <c r="C159" s="269"/>
      <c r="D159" s="269"/>
      <c r="E159" s="269"/>
      <c r="F159" s="269"/>
      <c r="G159" s="269"/>
      <c r="H159" s="269"/>
      <c r="I159" s="269"/>
      <c r="J159" s="269"/>
      <c r="K159" s="269"/>
      <c r="L159" s="269"/>
      <c r="M159" s="269"/>
    </row>
    <row r="160" spans="2:13">
      <c r="B160" s="269"/>
      <c r="C160" s="269"/>
      <c r="D160" s="269"/>
      <c r="E160" s="269"/>
      <c r="F160" s="269"/>
      <c r="G160" s="269"/>
      <c r="H160" s="269"/>
      <c r="I160" s="269"/>
      <c r="J160" s="269"/>
      <c r="K160" s="269"/>
      <c r="L160" s="269"/>
      <c r="M160" s="269"/>
    </row>
    <row r="161" spans="2:13">
      <c r="B161" s="269"/>
      <c r="C161" s="269"/>
      <c r="D161" s="269"/>
      <c r="E161" s="269"/>
      <c r="F161" s="269"/>
      <c r="G161" s="269"/>
      <c r="H161" s="269"/>
      <c r="I161" s="269"/>
      <c r="J161" s="269"/>
      <c r="K161" s="269"/>
      <c r="L161" s="269"/>
      <c r="M161" s="269"/>
    </row>
    <row r="162" spans="2:13">
      <c r="B162" s="269"/>
      <c r="C162" s="269"/>
      <c r="D162" s="269"/>
      <c r="E162" s="269"/>
      <c r="F162" s="269"/>
      <c r="G162" s="269"/>
      <c r="H162" s="269"/>
      <c r="I162" s="269"/>
      <c r="J162" s="269"/>
      <c r="K162" s="269"/>
      <c r="L162" s="269"/>
      <c r="M162" s="269"/>
    </row>
    <row r="163" spans="2:13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  <c r="L163" s="269"/>
      <c r="M163" s="269"/>
    </row>
    <row r="164" spans="2:13">
      <c r="B164" s="269"/>
      <c r="C164" s="269"/>
      <c r="D164" s="269"/>
      <c r="E164" s="269"/>
      <c r="F164" s="269"/>
      <c r="G164" s="269"/>
      <c r="H164" s="269"/>
      <c r="I164" s="269"/>
      <c r="J164" s="269"/>
      <c r="K164" s="269"/>
      <c r="L164" s="269"/>
      <c r="M164" s="269"/>
    </row>
    <row r="165" spans="2:13">
      <c r="B165" s="269"/>
      <c r="C165" s="269"/>
      <c r="D165" s="269"/>
      <c r="E165" s="269"/>
      <c r="F165" s="269"/>
      <c r="G165" s="269"/>
      <c r="H165" s="269"/>
      <c r="I165" s="269"/>
      <c r="J165" s="269"/>
      <c r="K165" s="269"/>
      <c r="L165" s="269"/>
      <c r="M165" s="269"/>
    </row>
    <row r="166" spans="2:13">
      <c r="B166" s="269"/>
      <c r="C166" s="269"/>
      <c r="D166" s="269"/>
      <c r="E166" s="269"/>
      <c r="F166" s="269"/>
      <c r="G166" s="269"/>
      <c r="H166" s="269"/>
      <c r="I166" s="269"/>
      <c r="J166" s="269"/>
      <c r="K166" s="269"/>
      <c r="L166" s="269"/>
      <c r="M166" s="269"/>
    </row>
    <row r="167" spans="2:13">
      <c r="B167" s="269"/>
      <c r="C167" s="269"/>
      <c r="D167" s="269"/>
      <c r="E167" s="269"/>
      <c r="F167" s="269"/>
      <c r="G167" s="269"/>
      <c r="H167" s="269"/>
      <c r="I167" s="269"/>
      <c r="J167" s="269"/>
      <c r="K167" s="269"/>
      <c r="L167" s="269"/>
      <c r="M167" s="269"/>
    </row>
    <row r="168" spans="2:13">
      <c r="B168" s="269"/>
      <c r="C168" s="269"/>
      <c r="D168" s="269"/>
      <c r="E168" s="269"/>
      <c r="F168" s="269"/>
      <c r="G168" s="269"/>
      <c r="H168" s="269"/>
      <c r="I168" s="269"/>
      <c r="J168" s="269"/>
      <c r="K168" s="269"/>
      <c r="L168" s="269"/>
      <c r="M168" s="269"/>
    </row>
    <row r="169" spans="2:13">
      <c r="B169" s="269"/>
      <c r="C169" s="269"/>
      <c r="D169" s="269"/>
      <c r="E169" s="269"/>
      <c r="F169" s="269"/>
      <c r="G169" s="269"/>
      <c r="H169" s="269"/>
      <c r="I169" s="269"/>
      <c r="J169" s="269"/>
      <c r="K169" s="269"/>
      <c r="L169" s="269"/>
      <c r="M169" s="269"/>
    </row>
    <row r="170" spans="2:13">
      <c r="B170" s="269"/>
      <c r="C170" s="269"/>
      <c r="D170" s="269"/>
      <c r="E170" s="269"/>
      <c r="F170" s="269"/>
      <c r="G170" s="269"/>
      <c r="H170" s="269"/>
      <c r="I170" s="269"/>
      <c r="J170" s="269"/>
      <c r="K170" s="269"/>
      <c r="L170" s="269"/>
      <c r="M170" s="269"/>
    </row>
    <row r="171" spans="2:13">
      <c r="B171" s="269"/>
      <c r="C171" s="269"/>
      <c r="D171" s="269"/>
      <c r="E171" s="269"/>
      <c r="F171" s="269"/>
      <c r="G171" s="269"/>
      <c r="H171" s="269"/>
      <c r="I171" s="269"/>
      <c r="J171" s="269"/>
      <c r="K171" s="269"/>
      <c r="L171" s="269"/>
      <c r="M171" s="269"/>
    </row>
    <row r="172" spans="2:13">
      <c r="B172" s="269"/>
      <c r="C172" s="269"/>
      <c r="D172" s="269"/>
      <c r="E172" s="269"/>
      <c r="F172" s="269"/>
      <c r="G172" s="269"/>
      <c r="H172" s="269"/>
      <c r="I172" s="269"/>
      <c r="J172" s="269"/>
      <c r="K172" s="269"/>
      <c r="L172" s="269"/>
      <c r="M172" s="269"/>
    </row>
    <row r="173" spans="2:13">
      <c r="B173" s="269"/>
      <c r="C173" s="269"/>
      <c r="D173" s="269"/>
      <c r="E173" s="269"/>
      <c r="F173" s="269"/>
      <c r="G173" s="269"/>
      <c r="H173" s="269"/>
      <c r="I173" s="269"/>
      <c r="J173" s="269"/>
      <c r="K173" s="269"/>
      <c r="L173" s="269"/>
      <c r="M173" s="269"/>
    </row>
    <row r="174" spans="2:13">
      <c r="B174" s="269"/>
      <c r="C174" s="269"/>
      <c r="D174" s="269"/>
      <c r="E174" s="269"/>
      <c r="F174" s="269"/>
      <c r="G174" s="269"/>
      <c r="H174" s="269"/>
      <c r="I174" s="269"/>
      <c r="J174" s="269"/>
      <c r="K174" s="269"/>
      <c r="L174" s="269"/>
      <c r="M174" s="269"/>
    </row>
    <row r="175" spans="2:13">
      <c r="B175" s="269"/>
      <c r="C175" s="269"/>
      <c r="D175" s="269"/>
      <c r="E175" s="269"/>
      <c r="F175" s="269"/>
      <c r="G175" s="269"/>
      <c r="H175" s="269"/>
      <c r="I175" s="269"/>
      <c r="J175" s="269"/>
      <c r="K175" s="269"/>
      <c r="L175" s="269"/>
      <c r="M175" s="269"/>
    </row>
    <row r="176" spans="2:13">
      <c r="B176" s="269"/>
      <c r="C176" s="269"/>
      <c r="D176" s="269"/>
      <c r="E176" s="269"/>
      <c r="F176" s="269"/>
      <c r="G176" s="269"/>
      <c r="H176" s="269"/>
      <c r="I176" s="269"/>
      <c r="J176" s="269"/>
      <c r="K176" s="269"/>
      <c r="L176" s="269"/>
      <c r="M176" s="269"/>
    </row>
    <row r="177" spans="2:13">
      <c r="B177" s="269"/>
      <c r="C177" s="269"/>
      <c r="D177" s="269"/>
      <c r="E177" s="269"/>
      <c r="F177" s="269"/>
      <c r="G177" s="269"/>
      <c r="H177" s="269"/>
      <c r="I177" s="269"/>
      <c r="J177" s="269"/>
      <c r="K177" s="269"/>
      <c r="L177" s="269"/>
      <c r="M177" s="269"/>
    </row>
    <row r="178" spans="2:13">
      <c r="B178" s="269"/>
      <c r="C178" s="269"/>
      <c r="D178" s="269"/>
      <c r="E178" s="269"/>
      <c r="F178" s="269"/>
      <c r="G178" s="269"/>
      <c r="H178" s="269"/>
      <c r="I178" s="269"/>
      <c r="J178" s="269"/>
      <c r="K178" s="269"/>
      <c r="L178" s="269"/>
      <c r="M178" s="269"/>
    </row>
    <row r="179" spans="2:13">
      <c r="B179" s="269"/>
      <c r="C179" s="269"/>
      <c r="D179" s="269"/>
      <c r="E179" s="269"/>
      <c r="F179" s="269"/>
      <c r="G179" s="269"/>
      <c r="H179" s="269"/>
      <c r="I179" s="269"/>
      <c r="J179" s="269"/>
      <c r="K179" s="269"/>
      <c r="L179" s="269"/>
      <c r="M179" s="269"/>
    </row>
    <row r="180" spans="2:13">
      <c r="B180" s="269"/>
      <c r="C180" s="269"/>
      <c r="D180" s="269"/>
      <c r="E180" s="269"/>
      <c r="F180" s="269"/>
      <c r="G180" s="269"/>
      <c r="H180" s="269"/>
      <c r="I180" s="269"/>
      <c r="J180" s="269"/>
      <c r="K180" s="269"/>
      <c r="L180" s="269"/>
      <c r="M180" s="269"/>
    </row>
    <row r="181" spans="2:13">
      <c r="B181" s="269"/>
      <c r="C181" s="269"/>
      <c r="D181" s="269"/>
      <c r="E181" s="269"/>
      <c r="F181" s="269"/>
      <c r="G181" s="269"/>
      <c r="H181" s="269"/>
      <c r="I181" s="269"/>
      <c r="J181" s="269"/>
      <c r="K181" s="269"/>
      <c r="L181" s="269"/>
      <c r="M181" s="269"/>
    </row>
    <row r="182" spans="2:13">
      <c r="B182" s="269"/>
      <c r="C182" s="269"/>
      <c r="D182" s="269"/>
      <c r="E182" s="269"/>
      <c r="F182" s="269"/>
      <c r="G182" s="269"/>
      <c r="H182" s="269"/>
      <c r="I182" s="269"/>
      <c r="J182" s="269"/>
      <c r="K182" s="269"/>
      <c r="L182" s="269"/>
      <c r="M182" s="269"/>
    </row>
    <row r="183" spans="2:13">
      <c r="B183" s="269"/>
      <c r="C183" s="269"/>
      <c r="D183" s="269"/>
      <c r="E183" s="269"/>
      <c r="F183" s="269"/>
      <c r="G183" s="269"/>
      <c r="H183" s="269"/>
      <c r="I183" s="269"/>
      <c r="J183" s="269"/>
      <c r="K183" s="269"/>
      <c r="L183" s="269"/>
      <c r="M183" s="269"/>
    </row>
    <row r="184" spans="2:13">
      <c r="B184" s="269"/>
      <c r="C184" s="269"/>
      <c r="D184" s="269"/>
      <c r="E184" s="269"/>
      <c r="F184" s="269"/>
      <c r="G184" s="269"/>
      <c r="H184" s="269"/>
      <c r="I184" s="269"/>
      <c r="J184" s="269"/>
      <c r="K184" s="269"/>
      <c r="L184" s="269"/>
      <c r="M184" s="269"/>
    </row>
    <row r="185" spans="2:13">
      <c r="B185" s="269"/>
      <c r="C185" s="269"/>
      <c r="D185" s="269"/>
      <c r="E185" s="269"/>
      <c r="F185" s="269"/>
      <c r="G185" s="269"/>
      <c r="H185" s="269"/>
      <c r="I185" s="269"/>
      <c r="J185" s="269"/>
      <c r="K185" s="269"/>
      <c r="L185" s="269"/>
      <c r="M185" s="269"/>
    </row>
    <row r="186" spans="2:13">
      <c r="B186" s="269"/>
      <c r="C186" s="269"/>
      <c r="D186" s="269"/>
      <c r="E186" s="269"/>
      <c r="F186" s="269"/>
      <c r="G186" s="269"/>
      <c r="H186" s="269"/>
      <c r="I186" s="269"/>
      <c r="J186" s="269"/>
      <c r="K186" s="269"/>
      <c r="L186" s="269"/>
      <c r="M186" s="269"/>
    </row>
    <row r="187" spans="2:13">
      <c r="B187" s="269"/>
      <c r="C187" s="269"/>
      <c r="D187" s="269"/>
      <c r="E187" s="269"/>
      <c r="F187" s="269"/>
      <c r="G187" s="269"/>
      <c r="H187" s="269"/>
      <c r="I187" s="269"/>
      <c r="J187" s="269"/>
      <c r="K187" s="269"/>
      <c r="L187" s="269"/>
      <c r="M187" s="269"/>
    </row>
    <row r="188" spans="2:13">
      <c r="B188" s="269"/>
      <c r="C188" s="269"/>
      <c r="D188" s="269"/>
      <c r="E188" s="269"/>
      <c r="F188" s="269"/>
      <c r="G188" s="269"/>
      <c r="H188" s="269"/>
      <c r="I188" s="269"/>
      <c r="J188" s="269"/>
      <c r="K188" s="269"/>
      <c r="L188" s="269"/>
      <c r="M188" s="269"/>
    </row>
    <row r="189" spans="2:13">
      <c r="B189" s="269"/>
      <c r="C189" s="269"/>
      <c r="D189" s="269"/>
      <c r="E189" s="269"/>
      <c r="F189" s="269"/>
      <c r="G189" s="269"/>
      <c r="H189" s="269"/>
      <c r="I189" s="269"/>
      <c r="J189" s="269"/>
      <c r="K189" s="269"/>
      <c r="L189" s="269"/>
      <c r="M189" s="269"/>
    </row>
    <row r="190" spans="2:13">
      <c r="B190" s="269"/>
      <c r="C190" s="269"/>
      <c r="D190" s="269"/>
      <c r="E190" s="269"/>
      <c r="F190" s="269"/>
      <c r="G190" s="269"/>
      <c r="H190" s="269"/>
      <c r="I190" s="269"/>
      <c r="J190" s="269"/>
      <c r="K190" s="269"/>
      <c r="L190" s="269"/>
      <c r="M190" s="269"/>
    </row>
    <row r="191" spans="2:13">
      <c r="B191" s="269"/>
      <c r="C191" s="269"/>
      <c r="D191" s="269"/>
      <c r="E191" s="269"/>
      <c r="F191" s="269"/>
      <c r="G191" s="269"/>
      <c r="H191" s="269"/>
      <c r="I191" s="269"/>
      <c r="J191" s="269"/>
      <c r="K191" s="269"/>
      <c r="L191" s="269"/>
      <c r="M191" s="269"/>
    </row>
    <row r="192" spans="2:13">
      <c r="B192" s="269"/>
      <c r="C192" s="269"/>
      <c r="D192" s="269"/>
      <c r="E192" s="269"/>
      <c r="F192" s="269"/>
      <c r="G192" s="269"/>
      <c r="H192" s="269"/>
      <c r="I192" s="269"/>
      <c r="J192" s="269"/>
      <c r="K192" s="269"/>
      <c r="L192" s="269"/>
      <c r="M192" s="269"/>
    </row>
    <row r="193" spans="2:13">
      <c r="B193" s="269"/>
      <c r="C193" s="269"/>
      <c r="D193" s="269"/>
      <c r="E193" s="269"/>
      <c r="F193" s="269"/>
      <c r="G193" s="269"/>
      <c r="H193" s="269"/>
      <c r="I193" s="269"/>
      <c r="J193" s="269"/>
      <c r="K193" s="269"/>
      <c r="L193" s="269"/>
      <c r="M193" s="269"/>
    </row>
    <row r="194" spans="2:13">
      <c r="B194" s="269"/>
      <c r="C194" s="269"/>
      <c r="D194" s="269"/>
      <c r="E194" s="269"/>
      <c r="F194" s="269"/>
      <c r="G194" s="269"/>
      <c r="H194" s="269"/>
      <c r="I194" s="269"/>
      <c r="J194" s="269"/>
      <c r="K194" s="269"/>
      <c r="L194" s="269"/>
      <c r="M194" s="269"/>
    </row>
    <row r="195" spans="2:13">
      <c r="B195" s="269"/>
      <c r="C195" s="269"/>
      <c r="D195" s="269"/>
      <c r="E195" s="269"/>
      <c r="F195" s="269"/>
      <c r="G195" s="269"/>
      <c r="H195" s="269"/>
      <c r="I195" s="269"/>
      <c r="J195" s="269"/>
      <c r="K195" s="269"/>
      <c r="L195" s="269"/>
      <c r="M195" s="269"/>
    </row>
    <row r="196" spans="2:13">
      <c r="B196" s="269"/>
      <c r="C196" s="269"/>
      <c r="D196" s="269"/>
      <c r="E196" s="269"/>
      <c r="F196" s="269"/>
      <c r="G196" s="269"/>
      <c r="H196" s="269"/>
      <c r="I196" s="269"/>
      <c r="J196" s="269"/>
      <c r="K196" s="269"/>
      <c r="L196" s="269"/>
      <c r="M196" s="269"/>
    </row>
    <row r="197" spans="2:13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  <c r="L197" s="269"/>
      <c r="M197" s="269"/>
    </row>
    <row r="198" spans="2:13">
      <c r="B198" s="269"/>
      <c r="C198" s="269"/>
      <c r="D198" s="269"/>
      <c r="E198" s="269"/>
      <c r="F198" s="269"/>
      <c r="G198" s="269"/>
      <c r="H198" s="269"/>
      <c r="I198" s="269"/>
      <c r="J198" s="269"/>
      <c r="K198" s="269"/>
      <c r="L198" s="269"/>
      <c r="M198" s="269"/>
    </row>
    <row r="199" spans="2:13">
      <c r="B199" s="269"/>
      <c r="C199" s="269"/>
      <c r="D199" s="269"/>
      <c r="E199" s="269"/>
      <c r="F199" s="269"/>
      <c r="G199" s="269"/>
      <c r="H199" s="269"/>
      <c r="I199" s="269"/>
      <c r="J199" s="269"/>
      <c r="K199" s="269"/>
      <c r="L199" s="269"/>
      <c r="M199" s="269"/>
    </row>
    <row r="200" spans="2:13">
      <c r="B200" s="269"/>
      <c r="C200" s="269"/>
      <c r="D200" s="269"/>
      <c r="E200" s="269"/>
      <c r="F200" s="269"/>
      <c r="G200" s="269"/>
      <c r="H200" s="269"/>
      <c r="I200" s="269"/>
      <c r="J200" s="269"/>
      <c r="K200" s="269"/>
      <c r="L200" s="269"/>
      <c r="M200" s="269"/>
    </row>
    <row r="201" spans="2:13">
      <c r="B201" s="269"/>
      <c r="C201" s="269"/>
      <c r="D201" s="269"/>
      <c r="E201" s="269"/>
      <c r="F201" s="269"/>
      <c r="G201" s="269"/>
      <c r="H201" s="269"/>
      <c r="I201" s="269"/>
      <c r="J201" s="269"/>
      <c r="K201" s="269"/>
      <c r="L201" s="269"/>
      <c r="M201" s="269"/>
    </row>
    <row r="202" spans="2:13">
      <c r="B202" s="269"/>
      <c r="C202" s="269"/>
      <c r="D202" s="269"/>
      <c r="E202" s="269"/>
      <c r="F202" s="269"/>
      <c r="G202" s="269"/>
      <c r="H202" s="269"/>
      <c r="I202" s="269"/>
      <c r="J202" s="269"/>
      <c r="K202" s="269"/>
      <c r="L202" s="269"/>
      <c r="M202" s="269"/>
    </row>
    <row r="203" spans="2:13">
      <c r="B203" s="269"/>
      <c r="C203" s="269"/>
      <c r="D203" s="269"/>
      <c r="E203" s="269"/>
      <c r="F203" s="269"/>
      <c r="G203" s="269"/>
      <c r="H203" s="269"/>
      <c r="I203" s="269"/>
      <c r="J203" s="269"/>
      <c r="K203" s="269"/>
      <c r="L203" s="269"/>
      <c r="M203" s="269"/>
    </row>
    <row r="204" spans="2:13">
      <c r="B204" s="269"/>
      <c r="C204" s="269"/>
      <c r="D204" s="269"/>
      <c r="E204" s="269"/>
      <c r="F204" s="269"/>
      <c r="G204" s="269"/>
      <c r="H204" s="269"/>
      <c r="I204" s="269"/>
      <c r="J204" s="269"/>
      <c r="K204" s="269"/>
      <c r="L204" s="269"/>
      <c r="M204" s="269"/>
    </row>
    <row r="205" spans="2:13">
      <c r="B205" s="269"/>
      <c r="C205" s="269"/>
      <c r="D205" s="269"/>
      <c r="E205" s="269"/>
      <c r="F205" s="269"/>
      <c r="G205" s="269"/>
      <c r="H205" s="269"/>
      <c r="I205" s="269"/>
      <c r="J205" s="269"/>
      <c r="K205" s="269"/>
      <c r="L205" s="269"/>
      <c r="M205" s="269"/>
    </row>
    <row r="206" spans="2:13">
      <c r="B206" s="269"/>
      <c r="C206" s="269"/>
      <c r="D206" s="269"/>
      <c r="E206" s="269"/>
      <c r="F206" s="269"/>
      <c r="G206" s="269"/>
      <c r="H206" s="269"/>
      <c r="I206" s="269"/>
      <c r="J206" s="269"/>
      <c r="K206" s="269"/>
      <c r="L206" s="269"/>
      <c r="M206" s="269"/>
    </row>
    <row r="207" spans="2:13">
      <c r="B207" s="269"/>
      <c r="C207" s="269"/>
      <c r="D207" s="269"/>
      <c r="E207" s="269"/>
      <c r="F207" s="269"/>
      <c r="G207" s="269"/>
      <c r="H207" s="269"/>
      <c r="I207" s="269"/>
      <c r="J207" s="269"/>
      <c r="K207" s="269"/>
      <c r="L207" s="269"/>
      <c r="M207" s="269"/>
    </row>
    <row r="208" spans="2:13">
      <c r="B208" s="269"/>
      <c r="C208" s="269"/>
      <c r="D208" s="269"/>
      <c r="E208" s="269"/>
      <c r="F208" s="269"/>
      <c r="G208" s="269"/>
      <c r="H208" s="269"/>
      <c r="I208" s="269"/>
      <c r="J208" s="269"/>
      <c r="K208" s="269"/>
      <c r="L208" s="269"/>
      <c r="M208" s="269"/>
    </row>
    <row r="209" spans="2:13">
      <c r="B209" s="269"/>
      <c r="C209" s="269"/>
      <c r="D209" s="269"/>
      <c r="E209" s="269"/>
      <c r="F209" s="269"/>
      <c r="G209" s="269"/>
      <c r="H209" s="269"/>
      <c r="I209" s="269"/>
      <c r="J209" s="269"/>
      <c r="K209" s="269"/>
      <c r="L209" s="269"/>
      <c r="M209" s="269"/>
    </row>
    <row r="210" spans="2:13">
      <c r="B210" s="269"/>
      <c r="C210" s="269"/>
      <c r="D210" s="269"/>
      <c r="E210" s="269"/>
      <c r="F210" s="269"/>
      <c r="G210" s="269"/>
      <c r="H210" s="269"/>
      <c r="I210" s="269"/>
      <c r="J210" s="269"/>
      <c r="K210" s="269"/>
      <c r="L210" s="269"/>
      <c r="M210" s="269"/>
    </row>
    <row r="211" spans="2:13">
      <c r="B211" s="269"/>
      <c r="C211" s="269"/>
      <c r="D211" s="269"/>
      <c r="E211" s="269"/>
      <c r="F211" s="269"/>
      <c r="G211" s="269"/>
      <c r="H211" s="269"/>
      <c r="I211" s="269"/>
      <c r="J211" s="269"/>
      <c r="K211" s="269"/>
      <c r="L211" s="269"/>
      <c r="M211" s="269"/>
    </row>
    <row r="212" spans="2:13">
      <c r="B212" s="269"/>
      <c r="C212" s="269"/>
      <c r="D212" s="269"/>
      <c r="E212" s="269"/>
      <c r="F212" s="269"/>
      <c r="G212" s="269"/>
      <c r="H212" s="269"/>
      <c r="I212" s="269"/>
      <c r="J212" s="269"/>
      <c r="K212" s="269"/>
      <c r="L212" s="269"/>
      <c r="M212" s="269"/>
    </row>
    <row r="213" spans="2:13">
      <c r="B213" s="269"/>
      <c r="C213" s="269"/>
      <c r="D213" s="269"/>
      <c r="E213" s="269"/>
      <c r="F213" s="269"/>
      <c r="G213" s="269"/>
      <c r="H213" s="269"/>
      <c r="I213" s="269"/>
      <c r="J213" s="269"/>
      <c r="K213" s="269"/>
      <c r="L213" s="269"/>
      <c r="M213" s="269"/>
    </row>
    <row r="214" spans="2:13">
      <c r="B214" s="269"/>
      <c r="C214" s="269"/>
      <c r="D214" s="269"/>
      <c r="E214" s="269"/>
      <c r="F214" s="269"/>
      <c r="G214" s="269"/>
      <c r="H214" s="269"/>
      <c r="I214" s="269"/>
      <c r="J214" s="269"/>
      <c r="K214" s="269"/>
      <c r="L214" s="269"/>
      <c r="M214" s="269"/>
    </row>
    <row r="215" spans="2:13">
      <c r="B215" s="269"/>
      <c r="C215" s="269"/>
      <c r="D215" s="269"/>
      <c r="E215" s="269"/>
      <c r="F215" s="269"/>
      <c r="G215" s="269"/>
      <c r="H215" s="269"/>
      <c r="I215" s="269"/>
      <c r="J215" s="269"/>
      <c r="K215" s="269"/>
      <c r="L215" s="269"/>
      <c r="M215" s="269"/>
    </row>
    <row r="216" spans="2:13">
      <c r="B216" s="269"/>
      <c r="C216" s="269"/>
      <c r="D216" s="269"/>
      <c r="E216" s="269"/>
      <c r="F216" s="269"/>
      <c r="G216" s="269"/>
      <c r="H216" s="269"/>
      <c r="I216" s="269"/>
      <c r="J216" s="269"/>
      <c r="K216" s="269"/>
      <c r="L216" s="269"/>
      <c r="M216" s="269"/>
    </row>
    <row r="217" spans="2:13">
      <c r="B217" s="269"/>
      <c r="C217" s="269"/>
      <c r="D217" s="269"/>
      <c r="E217" s="269"/>
      <c r="F217" s="269"/>
      <c r="G217" s="269"/>
      <c r="H217" s="269"/>
      <c r="I217" s="269"/>
      <c r="J217" s="269"/>
      <c r="K217" s="269"/>
      <c r="L217" s="269"/>
      <c r="M217" s="269"/>
    </row>
    <row r="218" spans="2:13">
      <c r="B218" s="269"/>
      <c r="C218" s="269"/>
      <c r="D218" s="269"/>
      <c r="E218" s="269"/>
      <c r="F218" s="269"/>
      <c r="G218" s="269"/>
      <c r="H218" s="269"/>
      <c r="I218" s="269"/>
      <c r="J218" s="269"/>
      <c r="K218" s="269"/>
      <c r="L218" s="269"/>
      <c r="M218" s="269"/>
    </row>
    <row r="219" spans="2:13">
      <c r="B219" s="269"/>
      <c r="C219" s="269"/>
      <c r="D219" s="269"/>
      <c r="E219" s="269"/>
      <c r="F219" s="269"/>
      <c r="G219" s="269"/>
      <c r="H219" s="269"/>
      <c r="I219" s="269"/>
      <c r="J219" s="269"/>
      <c r="K219" s="269"/>
      <c r="L219" s="269"/>
      <c r="M219" s="269"/>
    </row>
    <row r="220" spans="2:13">
      <c r="B220" s="269"/>
      <c r="C220" s="269"/>
      <c r="D220" s="269"/>
      <c r="E220" s="269"/>
      <c r="F220" s="269"/>
      <c r="G220" s="269"/>
      <c r="H220" s="269"/>
      <c r="I220" s="269"/>
      <c r="J220" s="269"/>
      <c r="K220" s="269"/>
      <c r="L220" s="269"/>
      <c r="M220" s="269"/>
    </row>
    <row r="221" spans="2:13">
      <c r="B221" s="269"/>
      <c r="C221" s="269"/>
      <c r="D221" s="269"/>
      <c r="E221" s="269"/>
      <c r="F221" s="269"/>
      <c r="G221" s="269"/>
      <c r="H221" s="269"/>
      <c r="I221" s="269"/>
      <c r="J221" s="269"/>
      <c r="K221" s="269"/>
      <c r="L221" s="269"/>
      <c r="M221" s="269"/>
    </row>
    <row r="222" spans="2:13">
      <c r="B222" s="269"/>
      <c r="C222" s="269"/>
      <c r="D222" s="269"/>
      <c r="E222" s="269"/>
      <c r="F222" s="269"/>
      <c r="G222" s="269"/>
      <c r="H222" s="269"/>
      <c r="I222" s="269"/>
      <c r="J222" s="269"/>
      <c r="K222" s="269"/>
      <c r="L222" s="269"/>
      <c r="M222" s="269"/>
    </row>
    <row r="223" spans="2:13">
      <c r="B223" s="269"/>
      <c r="C223" s="269"/>
      <c r="D223" s="269"/>
      <c r="E223" s="269"/>
      <c r="F223" s="269"/>
      <c r="G223" s="269"/>
      <c r="H223" s="269"/>
      <c r="I223" s="269"/>
      <c r="J223" s="269"/>
      <c r="K223" s="269"/>
      <c r="L223" s="269"/>
      <c r="M223" s="269"/>
    </row>
    <row r="224" spans="2:13">
      <c r="B224" s="269"/>
      <c r="C224" s="269"/>
      <c r="D224" s="269"/>
      <c r="E224" s="269"/>
      <c r="F224" s="269"/>
      <c r="G224" s="269"/>
      <c r="H224" s="269"/>
      <c r="I224" s="269"/>
      <c r="J224" s="269"/>
      <c r="K224" s="269"/>
      <c r="L224" s="269"/>
      <c r="M224" s="269"/>
    </row>
    <row r="225" spans="2:13">
      <c r="B225" s="269"/>
      <c r="C225" s="269"/>
      <c r="D225" s="269"/>
      <c r="E225" s="269"/>
      <c r="F225" s="269"/>
      <c r="G225" s="269"/>
      <c r="H225" s="269"/>
      <c r="I225" s="269"/>
      <c r="J225" s="269"/>
      <c r="K225" s="269"/>
      <c r="L225" s="269"/>
      <c r="M225" s="269"/>
    </row>
    <row r="226" spans="2:13">
      <c r="B226" s="269"/>
      <c r="C226" s="269"/>
      <c r="D226" s="269"/>
      <c r="E226" s="269"/>
      <c r="F226" s="269"/>
      <c r="G226" s="269"/>
      <c r="H226" s="269"/>
      <c r="I226" s="269"/>
      <c r="J226" s="269"/>
      <c r="K226" s="269"/>
      <c r="L226" s="269"/>
      <c r="M226" s="269"/>
    </row>
    <row r="227" spans="2:13">
      <c r="B227" s="269"/>
      <c r="C227" s="269"/>
      <c r="D227" s="269"/>
      <c r="E227" s="269"/>
      <c r="F227" s="269"/>
      <c r="G227" s="269"/>
      <c r="H227" s="269"/>
      <c r="I227" s="269"/>
      <c r="J227" s="269"/>
      <c r="K227" s="269"/>
      <c r="L227" s="269"/>
      <c r="M227" s="269"/>
    </row>
    <row r="228" spans="2:13">
      <c r="B228" s="269"/>
      <c r="C228" s="269"/>
      <c r="D228" s="269"/>
      <c r="E228" s="269"/>
      <c r="F228" s="269"/>
      <c r="G228" s="269"/>
      <c r="H228" s="269"/>
      <c r="I228" s="269"/>
      <c r="J228" s="269"/>
      <c r="K228" s="269"/>
      <c r="L228" s="269"/>
      <c r="M228" s="269"/>
    </row>
    <row r="229" spans="2:13">
      <c r="B229" s="269"/>
      <c r="C229" s="269"/>
      <c r="D229" s="269"/>
      <c r="E229" s="269"/>
      <c r="F229" s="269"/>
      <c r="G229" s="269"/>
      <c r="H229" s="269"/>
      <c r="I229" s="269"/>
      <c r="J229" s="269"/>
      <c r="K229" s="269"/>
      <c r="L229" s="269"/>
      <c r="M229" s="269"/>
    </row>
    <row r="230" spans="2:13">
      <c r="B230" s="269"/>
      <c r="C230" s="269"/>
      <c r="D230" s="269"/>
      <c r="E230" s="269"/>
      <c r="F230" s="269"/>
      <c r="G230" s="269"/>
      <c r="H230" s="269"/>
      <c r="I230" s="269"/>
      <c r="J230" s="269"/>
      <c r="K230" s="269"/>
      <c r="L230" s="269"/>
      <c r="M230" s="269"/>
    </row>
    <row r="231" spans="2:13">
      <c r="B231" s="269"/>
      <c r="C231" s="269"/>
      <c r="D231" s="269"/>
      <c r="E231" s="269"/>
      <c r="F231" s="269"/>
      <c r="G231" s="269"/>
      <c r="H231" s="269"/>
      <c r="I231" s="269"/>
      <c r="J231" s="269"/>
      <c r="K231" s="269"/>
      <c r="L231" s="269"/>
      <c r="M231" s="269"/>
    </row>
    <row r="232" spans="2:13">
      <c r="B232" s="269"/>
      <c r="C232" s="269"/>
      <c r="D232" s="269"/>
      <c r="E232" s="269"/>
      <c r="F232" s="269"/>
      <c r="G232" s="269"/>
      <c r="H232" s="269"/>
      <c r="I232" s="269"/>
      <c r="J232" s="269"/>
      <c r="K232" s="269"/>
      <c r="L232" s="269"/>
      <c r="M232" s="269"/>
    </row>
    <row r="233" spans="2:13">
      <c r="B233" s="269"/>
      <c r="C233" s="269"/>
      <c r="D233" s="269"/>
      <c r="E233" s="269"/>
      <c r="F233" s="269"/>
      <c r="G233" s="269"/>
      <c r="H233" s="269"/>
      <c r="I233" s="269"/>
      <c r="J233" s="269"/>
      <c r="K233" s="269"/>
      <c r="L233" s="269"/>
      <c r="M233" s="269"/>
    </row>
    <row r="234" spans="2:13">
      <c r="B234" s="269"/>
      <c r="C234" s="269"/>
      <c r="D234" s="269"/>
      <c r="E234" s="269"/>
      <c r="F234" s="269"/>
      <c r="G234" s="269"/>
      <c r="H234" s="269"/>
      <c r="I234" s="269"/>
      <c r="J234" s="269"/>
      <c r="K234" s="269"/>
      <c r="L234" s="269"/>
      <c r="M234" s="269"/>
    </row>
    <row r="235" spans="2:13">
      <c r="B235" s="269"/>
      <c r="C235" s="269"/>
      <c r="D235" s="269"/>
      <c r="E235" s="269"/>
      <c r="F235" s="269"/>
      <c r="G235" s="269"/>
      <c r="H235" s="269"/>
      <c r="I235" s="269"/>
      <c r="J235" s="269"/>
      <c r="K235" s="269"/>
      <c r="L235" s="269"/>
      <c r="M235" s="269"/>
    </row>
    <row r="236" spans="2:13">
      <c r="B236" s="269"/>
      <c r="C236" s="269"/>
      <c r="D236" s="269"/>
      <c r="E236" s="269"/>
      <c r="F236" s="269"/>
      <c r="G236" s="269"/>
      <c r="H236" s="269"/>
      <c r="I236" s="269"/>
      <c r="J236" s="269"/>
      <c r="K236" s="269"/>
      <c r="L236" s="269"/>
      <c r="M236" s="269"/>
    </row>
    <row r="237" spans="2:13">
      <c r="B237" s="269"/>
      <c r="C237" s="269"/>
      <c r="D237" s="269"/>
      <c r="E237" s="269"/>
      <c r="F237" s="269"/>
      <c r="G237" s="269"/>
      <c r="H237" s="269"/>
      <c r="I237" s="269"/>
      <c r="J237" s="269"/>
      <c r="K237" s="269"/>
      <c r="L237" s="269"/>
      <c r="M237" s="269"/>
    </row>
    <row r="238" spans="2:13">
      <c r="B238" s="269"/>
      <c r="C238" s="269"/>
      <c r="D238" s="269"/>
      <c r="E238" s="269"/>
      <c r="F238" s="269"/>
      <c r="G238" s="269"/>
      <c r="H238" s="269"/>
      <c r="I238" s="269"/>
      <c r="J238" s="269"/>
      <c r="K238" s="269"/>
      <c r="L238" s="269"/>
      <c r="M238" s="269"/>
    </row>
    <row r="239" spans="2:13">
      <c r="B239" s="269"/>
      <c r="C239" s="269"/>
      <c r="D239" s="269"/>
      <c r="E239" s="269"/>
      <c r="F239" s="269"/>
      <c r="G239" s="269"/>
      <c r="H239" s="269"/>
      <c r="I239" s="269"/>
      <c r="J239" s="269"/>
      <c r="K239" s="269"/>
      <c r="L239" s="269"/>
      <c r="M239" s="269"/>
    </row>
    <row r="240" spans="2:13">
      <c r="B240" s="269"/>
      <c r="C240" s="269"/>
      <c r="D240" s="269"/>
      <c r="E240" s="269"/>
      <c r="F240" s="269"/>
      <c r="G240" s="269"/>
      <c r="H240" s="269"/>
      <c r="I240" s="269"/>
      <c r="J240" s="269"/>
      <c r="K240" s="269"/>
      <c r="L240" s="269"/>
      <c r="M240" s="269"/>
    </row>
    <row r="241" spans="2:13">
      <c r="B241" s="269"/>
      <c r="C241" s="269"/>
      <c r="D241" s="269"/>
      <c r="E241" s="269"/>
      <c r="F241" s="269"/>
      <c r="G241" s="269"/>
      <c r="H241" s="269"/>
      <c r="I241" s="269"/>
      <c r="J241" s="269"/>
      <c r="K241" s="269"/>
      <c r="L241" s="269"/>
      <c r="M241" s="269"/>
    </row>
    <row r="242" spans="2:13">
      <c r="B242" s="269"/>
      <c r="C242" s="269"/>
      <c r="D242" s="269"/>
      <c r="E242" s="269"/>
      <c r="F242" s="269"/>
      <c r="G242" s="269"/>
      <c r="H242" s="269"/>
      <c r="I242" s="269"/>
      <c r="J242" s="269"/>
      <c r="K242" s="269"/>
      <c r="L242" s="269"/>
      <c r="M242" s="269"/>
    </row>
    <row r="243" spans="2:13">
      <c r="B243" s="269"/>
      <c r="C243" s="269"/>
      <c r="D243" s="269"/>
      <c r="E243" s="269"/>
      <c r="F243" s="269"/>
      <c r="G243" s="269"/>
      <c r="H243" s="269"/>
      <c r="I243" s="269"/>
      <c r="J243" s="269"/>
      <c r="K243" s="269"/>
      <c r="L243" s="269"/>
      <c r="M243" s="269"/>
    </row>
    <row r="244" spans="2:13">
      <c r="B244" s="269"/>
      <c r="C244" s="269"/>
      <c r="D244" s="269"/>
      <c r="E244" s="269"/>
      <c r="F244" s="269"/>
      <c r="G244" s="269"/>
      <c r="H244" s="269"/>
      <c r="I244" s="269"/>
      <c r="J244" s="269"/>
      <c r="K244" s="269"/>
      <c r="L244" s="269"/>
      <c r="M244" s="269"/>
    </row>
    <row r="245" spans="2:13">
      <c r="B245" s="269"/>
      <c r="C245" s="269"/>
      <c r="D245" s="269"/>
      <c r="E245" s="269"/>
      <c r="F245" s="269"/>
      <c r="G245" s="269"/>
      <c r="H245" s="269"/>
      <c r="I245" s="269"/>
      <c r="J245" s="269"/>
      <c r="K245" s="269"/>
      <c r="L245" s="269"/>
      <c r="M245" s="269"/>
    </row>
    <row r="246" spans="2:13">
      <c r="B246" s="269"/>
      <c r="C246" s="269"/>
      <c r="D246" s="269"/>
      <c r="E246" s="269"/>
      <c r="F246" s="269"/>
      <c r="G246" s="269"/>
      <c r="H246" s="269"/>
      <c r="I246" s="269"/>
      <c r="J246" s="269"/>
      <c r="K246" s="269"/>
      <c r="L246" s="269"/>
      <c r="M246" s="269"/>
    </row>
    <row r="247" spans="2:13">
      <c r="B247" s="269"/>
      <c r="C247" s="269"/>
      <c r="D247" s="269"/>
      <c r="E247" s="269"/>
      <c r="F247" s="269"/>
      <c r="G247" s="269"/>
      <c r="H247" s="269"/>
      <c r="I247" s="269"/>
      <c r="J247" s="269"/>
      <c r="K247" s="269"/>
      <c r="L247" s="269"/>
      <c r="M247" s="269"/>
    </row>
    <row r="248" spans="2:13">
      <c r="B248" s="269"/>
      <c r="C248" s="269"/>
      <c r="D248" s="269"/>
      <c r="E248" s="269"/>
      <c r="F248" s="269"/>
      <c r="G248" s="269"/>
      <c r="H248" s="269"/>
      <c r="I248" s="269"/>
      <c r="J248" s="269"/>
      <c r="K248" s="269"/>
      <c r="L248" s="269"/>
      <c r="M248" s="269"/>
    </row>
    <row r="249" spans="2:13">
      <c r="B249" s="269"/>
      <c r="C249" s="269"/>
      <c r="D249" s="269"/>
      <c r="E249" s="269"/>
      <c r="F249" s="269"/>
      <c r="G249" s="269"/>
      <c r="H249" s="269"/>
      <c r="I249" s="269"/>
      <c r="J249" s="269"/>
      <c r="K249" s="269"/>
      <c r="L249" s="269"/>
      <c r="M249" s="269"/>
    </row>
    <row r="250" spans="2:13">
      <c r="B250" s="269"/>
      <c r="C250" s="269"/>
      <c r="D250" s="269"/>
      <c r="E250" s="269"/>
      <c r="F250" s="269"/>
      <c r="G250" s="269"/>
      <c r="H250" s="269"/>
      <c r="I250" s="269"/>
      <c r="J250" s="269"/>
      <c r="K250" s="269"/>
      <c r="L250" s="269"/>
      <c r="M250" s="269"/>
    </row>
    <row r="251" spans="2:13">
      <c r="B251" s="269"/>
      <c r="C251" s="269"/>
      <c r="D251" s="269"/>
      <c r="E251" s="269"/>
      <c r="F251" s="269"/>
      <c r="G251" s="269"/>
      <c r="H251" s="269"/>
      <c r="I251" s="269"/>
      <c r="J251" s="269"/>
      <c r="K251" s="269"/>
      <c r="L251" s="269"/>
      <c r="M251" s="269"/>
    </row>
    <row r="252" spans="2:13">
      <c r="B252" s="269"/>
      <c r="C252" s="269"/>
      <c r="D252" s="269"/>
      <c r="E252" s="269"/>
      <c r="F252" s="269"/>
      <c r="G252" s="269"/>
      <c r="H252" s="269"/>
      <c r="I252" s="269"/>
      <c r="J252" s="269"/>
      <c r="K252" s="269"/>
      <c r="L252" s="269"/>
      <c r="M252" s="269"/>
    </row>
    <row r="253" spans="2:13">
      <c r="B253" s="269"/>
      <c r="C253" s="269"/>
      <c r="D253" s="269"/>
      <c r="E253" s="269"/>
      <c r="F253" s="269"/>
      <c r="G253" s="269"/>
      <c r="H253" s="269"/>
      <c r="I253" s="269"/>
      <c r="J253" s="269"/>
      <c r="K253" s="269"/>
      <c r="L253" s="269"/>
      <c r="M253" s="269"/>
    </row>
    <row r="254" spans="2:13">
      <c r="B254" s="269"/>
      <c r="C254" s="269"/>
      <c r="D254" s="269"/>
      <c r="E254" s="269"/>
      <c r="F254" s="269"/>
      <c r="G254" s="269"/>
      <c r="H254" s="269"/>
      <c r="I254" s="269"/>
      <c r="J254" s="269"/>
      <c r="K254" s="269"/>
      <c r="L254" s="269"/>
      <c r="M254" s="269"/>
    </row>
    <row r="255" spans="2:13">
      <c r="B255" s="269"/>
      <c r="C255" s="269"/>
      <c r="D255" s="269"/>
      <c r="E255" s="269"/>
      <c r="F255" s="269"/>
      <c r="G255" s="269"/>
      <c r="H255" s="269"/>
      <c r="I255" s="269"/>
      <c r="J255" s="269"/>
      <c r="K255" s="269"/>
      <c r="L255" s="269"/>
      <c r="M255" s="269"/>
    </row>
    <row r="256" spans="2:13">
      <c r="B256" s="269"/>
      <c r="C256" s="269"/>
      <c r="D256" s="269"/>
      <c r="E256" s="269"/>
      <c r="F256" s="269"/>
      <c r="G256" s="269"/>
      <c r="H256" s="269"/>
      <c r="I256" s="269"/>
      <c r="J256" s="269"/>
      <c r="K256" s="269"/>
      <c r="L256" s="269"/>
      <c r="M256" s="269"/>
    </row>
    <row r="257" spans="2:13">
      <c r="B257" s="269"/>
      <c r="C257" s="269"/>
      <c r="D257" s="269"/>
      <c r="E257" s="269"/>
      <c r="F257" s="269"/>
      <c r="G257" s="269"/>
      <c r="H257" s="269"/>
      <c r="I257" s="269"/>
      <c r="J257" s="269"/>
      <c r="K257" s="269"/>
      <c r="L257" s="269"/>
      <c r="M257" s="269"/>
    </row>
    <row r="258" spans="2:13">
      <c r="B258" s="269"/>
      <c r="C258" s="269"/>
      <c r="D258" s="269"/>
      <c r="E258" s="269"/>
      <c r="F258" s="269"/>
      <c r="G258" s="269"/>
      <c r="H258" s="269"/>
      <c r="I258" s="269"/>
      <c r="J258" s="269"/>
      <c r="K258" s="269"/>
      <c r="L258" s="269"/>
      <c r="M258" s="269"/>
    </row>
    <row r="259" spans="2:13">
      <c r="B259" s="269"/>
      <c r="C259" s="269"/>
      <c r="D259" s="269"/>
      <c r="E259" s="269"/>
      <c r="F259" s="269"/>
      <c r="G259" s="269"/>
      <c r="H259" s="269"/>
      <c r="I259" s="269"/>
      <c r="J259" s="269"/>
      <c r="K259" s="269"/>
      <c r="L259" s="269"/>
      <c r="M259" s="269"/>
    </row>
    <row r="260" spans="2:13">
      <c r="B260" s="269"/>
      <c r="C260" s="269"/>
      <c r="D260" s="269"/>
      <c r="E260" s="269"/>
      <c r="F260" s="269"/>
      <c r="G260" s="269"/>
      <c r="H260" s="269"/>
      <c r="I260" s="269"/>
      <c r="J260" s="269"/>
      <c r="K260" s="269"/>
      <c r="L260" s="269"/>
      <c r="M260" s="269"/>
    </row>
    <row r="261" spans="2:13">
      <c r="B261" s="269"/>
      <c r="C261" s="269"/>
      <c r="D261" s="269"/>
      <c r="E261" s="269"/>
      <c r="F261" s="269"/>
      <c r="G261" s="269"/>
      <c r="H261" s="269"/>
      <c r="I261" s="269"/>
      <c r="J261" s="269"/>
      <c r="K261" s="269"/>
      <c r="L261" s="269"/>
      <c r="M261" s="269"/>
    </row>
    <row r="262" spans="2:13">
      <c r="B262" s="269"/>
      <c r="C262" s="269"/>
      <c r="D262" s="269"/>
      <c r="E262" s="269"/>
      <c r="F262" s="269"/>
      <c r="G262" s="269"/>
      <c r="H262" s="269"/>
      <c r="I262" s="269"/>
      <c r="J262" s="269"/>
      <c r="K262" s="269"/>
      <c r="L262" s="269"/>
      <c r="M262" s="269"/>
    </row>
    <row r="263" spans="2:13">
      <c r="B263" s="269"/>
      <c r="C263" s="269"/>
      <c r="D263" s="269"/>
      <c r="E263" s="269"/>
      <c r="F263" s="269"/>
      <c r="G263" s="269"/>
      <c r="H263" s="269"/>
      <c r="I263" s="269"/>
      <c r="J263" s="269"/>
      <c r="K263" s="269"/>
      <c r="L263" s="269"/>
      <c r="M263" s="269"/>
    </row>
    <row r="264" spans="2:13">
      <c r="B264" s="269"/>
      <c r="C264" s="269"/>
      <c r="D264" s="269"/>
      <c r="E264" s="269"/>
      <c r="F264" s="269"/>
      <c r="G264" s="269"/>
      <c r="H264" s="269"/>
      <c r="I264" s="269"/>
      <c r="J264" s="269"/>
      <c r="K264" s="269"/>
      <c r="L264" s="269"/>
      <c r="M264" s="269"/>
    </row>
    <row r="265" spans="2:13">
      <c r="B265" s="269"/>
      <c r="C265" s="269"/>
      <c r="D265" s="269"/>
      <c r="E265" s="269"/>
      <c r="F265" s="269"/>
      <c r="G265" s="269"/>
      <c r="H265" s="269"/>
      <c r="I265" s="269"/>
      <c r="J265" s="269"/>
      <c r="K265" s="269"/>
      <c r="L265" s="269"/>
      <c r="M265" s="269"/>
    </row>
    <row r="266" spans="2:13">
      <c r="B266" s="269"/>
      <c r="C266" s="269"/>
      <c r="D266" s="269"/>
      <c r="E266" s="269"/>
      <c r="F266" s="269"/>
      <c r="G266" s="269"/>
      <c r="H266" s="269"/>
      <c r="I266" s="269"/>
      <c r="J266" s="269"/>
      <c r="K266" s="269"/>
      <c r="L266" s="269"/>
      <c r="M266" s="269"/>
    </row>
    <row r="267" spans="2:13">
      <c r="B267" s="269"/>
      <c r="C267" s="269"/>
      <c r="D267" s="269"/>
      <c r="E267" s="269"/>
      <c r="F267" s="269"/>
      <c r="G267" s="269"/>
      <c r="H267" s="269"/>
      <c r="I267" s="269"/>
      <c r="J267" s="269"/>
      <c r="K267" s="269"/>
      <c r="L267" s="269"/>
      <c r="M267" s="269"/>
    </row>
    <row r="268" spans="2:13">
      <c r="B268" s="269"/>
      <c r="C268" s="269"/>
      <c r="D268" s="269"/>
      <c r="E268" s="269"/>
      <c r="F268" s="269"/>
      <c r="G268" s="269"/>
      <c r="H268" s="269"/>
      <c r="I268" s="269"/>
      <c r="J268" s="269"/>
      <c r="K268" s="269"/>
      <c r="L268" s="269"/>
      <c r="M268" s="269"/>
    </row>
    <row r="269" spans="2:13">
      <c r="B269" s="269"/>
      <c r="C269" s="269"/>
      <c r="D269" s="269"/>
      <c r="E269" s="269"/>
      <c r="F269" s="269"/>
      <c r="G269" s="269"/>
      <c r="H269" s="269"/>
      <c r="I269" s="269"/>
      <c r="J269" s="269"/>
      <c r="K269" s="269"/>
      <c r="L269" s="269"/>
      <c r="M269" s="269"/>
    </row>
    <row r="270" spans="2:13">
      <c r="B270" s="269"/>
      <c r="C270" s="269"/>
      <c r="D270" s="269"/>
      <c r="E270" s="269"/>
      <c r="F270" s="269"/>
      <c r="G270" s="269"/>
      <c r="H270" s="269"/>
      <c r="I270" s="269"/>
      <c r="J270" s="269"/>
      <c r="K270" s="269"/>
      <c r="L270" s="269"/>
      <c r="M270" s="269"/>
    </row>
    <row r="271" spans="2:13">
      <c r="B271" s="269"/>
      <c r="C271" s="269"/>
      <c r="D271" s="269"/>
      <c r="E271" s="269"/>
      <c r="F271" s="269"/>
      <c r="G271" s="269"/>
      <c r="H271" s="269"/>
      <c r="I271" s="269"/>
      <c r="J271" s="269"/>
      <c r="K271" s="269"/>
      <c r="L271" s="269"/>
      <c r="M271" s="269"/>
    </row>
    <row r="272" spans="2:13">
      <c r="B272" s="269"/>
      <c r="C272" s="269"/>
      <c r="D272" s="269"/>
      <c r="E272" s="269"/>
      <c r="F272" s="269"/>
      <c r="G272" s="269"/>
      <c r="H272" s="269"/>
      <c r="I272" s="269"/>
      <c r="J272" s="269"/>
      <c r="K272" s="269"/>
      <c r="L272" s="269"/>
      <c r="M272" s="269"/>
    </row>
    <row r="273" spans="2:13">
      <c r="B273" s="269"/>
      <c r="C273" s="269"/>
      <c r="D273" s="269"/>
      <c r="E273" s="269"/>
      <c r="F273" s="269"/>
      <c r="G273" s="269"/>
      <c r="H273" s="269"/>
      <c r="I273" s="269"/>
      <c r="J273" s="269"/>
      <c r="K273" s="269"/>
      <c r="L273" s="269"/>
      <c r="M273" s="269"/>
    </row>
    <row r="274" spans="2:13">
      <c r="B274" s="269"/>
      <c r="C274" s="269"/>
      <c r="D274" s="269"/>
      <c r="E274" s="269"/>
      <c r="F274" s="269"/>
      <c r="G274" s="269"/>
      <c r="H274" s="269"/>
      <c r="I274" s="269"/>
      <c r="J274" s="269"/>
      <c r="K274" s="269"/>
      <c r="L274" s="269"/>
      <c r="M274" s="269"/>
    </row>
    <row r="275" spans="2:13">
      <c r="B275" s="269"/>
      <c r="C275" s="269"/>
      <c r="D275" s="269"/>
      <c r="E275" s="269"/>
      <c r="F275" s="269"/>
      <c r="G275" s="269"/>
      <c r="H275" s="269"/>
      <c r="I275" s="269"/>
      <c r="J275" s="269"/>
      <c r="K275" s="269"/>
      <c r="L275" s="269"/>
      <c r="M275" s="269"/>
    </row>
    <row r="276" spans="2:13">
      <c r="B276" s="269"/>
      <c r="C276" s="269"/>
      <c r="D276" s="269"/>
      <c r="E276" s="269"/>
      <c r="F276" s="269"/>
      <c r="G276" s="269"/>
      <c r="H276" s="269"/>
      <c r="I276" s="269"/>
      <c r="J276" s="269"/>
      <c r="K276" s="269"/>
      <c r="L276" s="269"/>
      <c r="M276" s="269"/>
    </row>
    <row r="277" spans="2:13">
      <c r="B277" s="269"/>
      <c r="C277" s="269"/>
      <c r="D277" s="269"/>
      <c r="E277" s="269"/>
      <c r="F277" s="269"/>
      <c r="G277" s="269"/>
      <c r="H277" s="269"/>
      <c r="I277" s="269"/>
      <c r="J277" s="269"/>
      <c r="K277" s="269"/>
      <c r="L277" s="269"/>
      <c r="M277" s="269"/>
    </row>
    <row r="278" spans="2:13">
      <c r="B278" s="269"/>
      <c r="C278" s="269"/>
      <c r="D278" s="269"/>
      <c r="E278" s="269"/>
      <c r="F278" s="269"/>
      <c r="G278" s="269"/>
      <c r="H278" s="269"/>
      <c r="I278" s="269"/>
      <c r="J278" s="269"/>
      <c r="K278" s="269"/>
      <c r="L278" s="269"/>
      <c r="M278" s="269"/>
    </row>
    <row r="279" spans="2:13">
      <c r="B279" s="269"/>
      <c r="C279" s="269"/>
      <c r="D279" s="269"/>
      <c r="E279" s="269"/>
      <c r="F279" s="269"/>
      <c r="G279" s="269"/>
      <c r="H279" s="269"/>
      <c r="I279" s="269"/>
      <c r="J279" s="269"/>
      <c r="K279" s="269"/>
      <c r="L279" s="269"/>
      <c r="M279" s="269"/>
    </row>
    <row r="280" spans="2:13">
      <c r="B280" s="269"/>
      <c r="C280" s="269"/>
      <c r="D280" s="269"/>
      <c r="E280" s="269"/>
      <c r="F280" s="269"/>
      <c r="G280" s="269"/>
      <c r="H280" s="269"/>
      <c r="I280" s="269"/>
      <c r="J280" s="269"/>
      <c r="K280" s="269"/>
      <c r="L280" s="269"/>
      <c r="M280" s="269"/>
    </row>
    <row r="281" spans="2:13">
      <c r="B281" s="269"/>
      <c r="C281" s="269"/>
      <c r="D281" s="269"/>
      <c r="E281" s="269"/>
      <c r="F281" s="269"/>
      <c r="G281" s="269"/>
      <c r="H281" s="269"/>
      <c r="I281" s="269"/>
      <c r="J281" s="269"/>
      <c r="K281" s="269"/>
      <c r="L281" s="269"/>
      <c r="M281" s="269"/>
    </row>
    <row r="282" spans="2:13">
      <c r="B282" s="269"/>
      <c r="C282" s="269"/>
      <c r="D282" s="269"/>
      <c r="E282" s="269"/>
      <c r="F282" s="269"/>
      <c r="G282" s="269"/>
      <c r="H282" s="269"/>
      <c r="I282" s="269"/>
      <c r="J282" s="269"/>
      <c r="K282" s="269"/>
      <c r="L282" s="269"/>
      <c r="M282" s="269"/>
    </row>
    <row r="283" spans="2:13">
      <c r="B283" s="269"/>
      <c r="C283" s="269"/>
      <c r="D283" s="269"/>
      <c r="E283" s="269"/>
      <c r="F283" s="269"/>
      <c r="G283" s="269"/>
      <c r="H283" s="269"/>
      <c r="I283" s="269"/>
      <c r="J283" s="269"/>
      <c r="K283" s="269"/>
      <c r="L283" s="269"/>
      <c r="M283" s="269"/>
    </row>
    <row r="284" spans="2:13">
      <c r="B284" s="269"/>
      <c r="C284" s="269"/>
      <c r="D284" s="269"/>
      <c r="E284" s="269"/>
      <c r="F284" s="269"/>
      <c r="G284" s="269"/>
      <c r="H284" s="269"/>
      <c r="I284" s="269"/>
      <c r="J284" s="269"/>
      <c r="K284" s="269"/>
      <c r="L284" s="269"/>
      <c r="M284" s="269"/>
    </row>
    <row r="285" spans="2:13">
      <c r="B285" s="269"/>
      <c r="C285" s="269"/>
      <c r="D285" s="269"/>
      <c r="E285" s="269"/>
      <c r="F285" s="269"/>
      <c r="G285" s="269"/>
      <c r="H285" s="269"/>
      <c r="I285" s="269"/>
      <c r="J285" s="269"/>
      <c r="K285" s="269"/>
      <c r="L285" s="269"/>
      <c r="M285" s="269"/>
    </row>
    <row r="286" spans="2:13">
      <c r="B286" s="269"/>
      <c r="C286" s="269"/>
      <c r="D286" s="269"/>
      <c r="E286" s="269"/>
      <c r="F286" s="269"/>
      <c r="G286" s="269"/>
      <c r="H286" s="269"/>
      <c r="I286" s="269"/>
      <c r="J286" s="269"/>
      <c r="K286" s="269"/>
      <c r="L286" s="269"/>
      <c r="M286" s="269"/>
    </row>
    <row r="287" spans="2:13">
      <c r="B287" s="269"/>
      <c r="C287" s="269"/>
      <c r="D287" s="269"/>
      <c r="E287" s="269"/>
      <c r="F287" s="269"/>
      <c r="G287" s="269"/>
      <c r="H287" s="269"/>
      <c r="I287" s="269"/>
      <c r="J287" s="269"/>
      <c r="K287" s="269"/>
      <c r="L287" s="269"/>
      <c r="M287" s="269"/>
    </row>
    <row r="288" spans="2:13">
      <c r="B288" s="269"/>
      <c r="C288" s="269"/>
      <c r="D288" s="269"/>
      <c r="E288" s="269"/>
      <c r="F288" s="269"/>
      <c r="G288" s="269"/>
      <c r="H288" s="269"/>
      <c r="I288" s="269"/>
      <c r="J288" s="269"/>
      <c r="K288" s="269"/>
      <c r="L288" s="269"/>
      <c r="M288" s="269"/>
    </row>
    <row r="289" spans="2:13">
      <c r="B289" s="269"/>
      <c r="C289" s="269"/>
      <c r="D289" s="269"/>
      <c r="E289" s="269"/>
      <c r="F289" s="269"/>
      <c r="G289" s="269"/>
      <c r="H289" s="269"/>
      <c r="I289" s="269"/>
      <c r="J289" s="269"/>
      <c r="K289" s="269"/>
      <c r="L289" s="269"/>
      <c r="M289" s="269"/>
    </row>
    <row r="290" spans="2:13">
      <c r="B290" s="269"/>
      <c r="C290" s="269"/>
      <c r="D290" s="269"/>
      <c r="E290" s="269"/>
      <c r="F290" s="269"/>
      <c r="G290" s="269"/>
      <c r="H290" s="269"/>
      <c r="I290" s="269"/>
      <c r="J290" s="269"/>
      <c r="K290" s="269"/>
      <c r="L290" s="269"/>
      <c r="M290" s="269"/>
    </row>
    <row r="291" spans="2:13">
      <c r="B291" s="269"/>
      <c r="C291" s="269"/>
      <c r="D291" s="269"/>
      <c r="E291" s="269"/>
      <c r="F291" s="269"/>
      <c r="G291" s="269"/>
      <c r="H291" s="269"/>
      <c r="I291" s="269"/>
      <c r="J291" s="269"/>
      <c r="K291" s="269"/>
      <c r="L291" s="269"/>
      <c r="M291" s="269"/>
    </row>
    <row r="292" spans="2:13">
      <c r="B292" s="269"/>
      <c r="C292" s="269"/>
      <c r="D292" s="269"/>
      <c r="E292" s="269"/>
      <c r="F292" s="269"/>
      <c r="G292" s="269"/>
      <c r="H292" s="269"/>
      <c r="I292" s="269"/>
      <c r="J292" s="269"/>
      <c r="K292" s="269"/>
      <c r="L292" s="269"/>
      <c r="M292" s="269"/>
    </row>
    <row r="293" spans="2:13">
      <c r="B293" s="269"/>
      <c r="C293" s="269"/>
      <c r="D293" s="269"/>
      <c r="E293" s="269"/>
      <c r="F293" s="269"/>
      <c r="G293" s="269"/>
      <c r="H293" s="269"/>
      <c r="I293" s="269"/>
      <c r="J293" s="269"/>
      <c r="K293" s="269"/>
      <c r="L293" s="269"/>
      <c r="M293" s="269"/>
    </row>
    <row r="294" spans="2:13">
      <c r="B294" s="269"/>
      <c r="C294" s="269"/>
      <c r="D294" s="269"/>
      <c r="E294" s="269"/>
      <c r="F294" s="269"/>
      <c r="G294" s="269"/>
      <c r="H294" s="269"/>
      <c r="I294" s="269"/>
      <c r="J294" s="269"/>
      <c r="K294" s="269"/>
      <c r="L294" s="269"/>
      <c r="M294" s="269"/>
    </row>
    <row r="295" spans="2:13">
      <c r="B295" s="269"/>
      <c r="C295" s="269"/>
      <c r="D295" s="269"/>
      <c r="E295" s="269"/>
      <c r="F295" s="269"/>
      <c r="G295" s="269"/>
      <c r="H295" s="269"/>
      <c r="I295" s="269"/>
      <c r="J295" s="269"/>
      <c r="K295" s="269"/>
      <c r="L295" s="269"/>
      <c r="M295" s="269"/>
    </row>
    <row r="296" spans="2:13">
      <c r="B296" s="269"/>
      <c r="C296" s="269"/>
      <c r="D296" s="269"/>
      <c r="E296" s="269"/>
      <c r="F296" s="269"/>
      <c r="G296" s="269"/>
      <c r="H296" s="269"/>
      <c r="I296" s="269"/>
      <c r="J296" s="269"/>
      <c r="K296" s="269"/>
      <c r="L296" s="269"/>
      <c r="M296" s="269"/>
    </row>
    <row r="297" spans="2:13">
      <c r="B297" s="269"/>
      <c r="C297" s="269"/>
      <c r="D297" s="269"/>
      <c r="E297" s="269"/>
      <c r="F297" s="269"/>
      <c r="G297" s="269"/>
      <c r="H297" s="269"/>
      <c r="I297" s="269"/>
      <c r="J297" s="269"/>
      <c r="K297" s="269"/>
      <c r="L297" s="269"/>
      <c r="M297" s="269"/>
    </row>
    <row r="298" spans="2:13">
      <c r="B298" s="269"/>
      <c r="C298" s="269"/>
      <c r="D298" s="269"/>
      <c r="E298" s="269"/>
      <c r="F298" s="269"/>
      <c r="G298" s="269"/>
      <c r="H298" s="269"/>
      <c r="I298" s="269"/>
      <c r="J298" s="269"/>
      <c r="K298" s="269"/>
      <c r="L298" s="269"/>
      <c r="M298" s="269"/>
    </row>
    <row r="299" spans="2:13">
      <c r="B299" s="269"/>
      <c r="C299" s="269"/>
      <c r="D299" s="269"/>
      <c r="E299" s="269"/>
      <c r="F299" s="269"/>
      <c r="G299" s="269"/>
      <c r="H299" s="269"/>
      <c r="I299" s="269"/>
      <c r="J299" s="269"/>
      <c r="K299" s="269"/>
      <c r="L299" s="269"/>
      <c r="M299" s="269"/>
    </row>
    <row r="300" spans="2:13">
      <c r="B300" s="269"/>
      <c r="C300" s="269"/>
      <c r="D300" s="269"/>
      <c r="E300" s="269"/>
      <c r="F300" s="269"/>
      <c r="G300" s="269"/>
      <c r="H300" s="269"/>
      <c r="I300" s="269"/>
      <c r="J300" s="269"/>
      <c r="K300" s="269"/>
      <c r="L300" s="269"/>
      <c r="M300" s="269"/>
    </row>
    <row r="301" spans="2:13">
      <c r="B301" s="269"/>
      <c r="C301" s="269"/>
      <c r="D301" s="269"/>
      <c r="E301" s="269"/>
      <c r="F301" s="269"/>
      <c r="G301" s="269"/>
      <c r="H301" s="269"/>
      <c r="I301" s="269"/>
      <c r="J301" s="269"/>
      <c r="K301" s="269"/>
      <c r="L301" s="269"/>
      <c r="M301" s="269"/>
    </row>
    <row r="302" spans="2:13">
      <c r="B302" s="269"/>
      <c r="C302" s="269"/>
      <c r="D302" s="269"/>
      <c r="E302" s="269"/>
      <c r="F302" s="269"/>
      <c r="G302" s="269"/>
      <c r="H302" s="269"/>
      <c r="I302" s="269"/>
      <c r="J302" s="269"/>
      <c r="K302" s="269"/>
      <c r="L302" s="269"/>
      <c r="M302" s="269"/>
    </row>
    <row r="303" spans="2:13">
      <c r="B303" s="269"/>
      <c r="C303" s="269"/>
      <c r="D303" s="269"/>
      <c r="E303" s="269"/>
      <c r="F303" s="269"/>
      <c r="G303" s="269"/>
      <c r="H303" s="269"/>
      <c r="I303" s="269"/>
      <c r="J303" s="269"/>
      <c r="K303" s="269"/>
      <c r="L303" s="269"/>
      <c r="M303" s="269"/>
    </row>
    <row r="304" spans="2:13">
      <c r="B304" s="269"/>
      <c r="C304" s="269"/>
      <c r="D304" s="269"/>
      <c r="E304" s="269"/>
      <c r="F304" s="269"/>
      <c r="G304" s="269"/>
      <c r="H304" s="269"/>
      <c r="I304" s="269"/>
      <c r="J304" s="269"/>
      <c r="K304" s="269"/>
      <c r="L304" s="269"/>
      <c r="M304" s="269"/>
    </row>
    <row r="305" spans="2:13">
      <c r="B305" s="269"/>
      <c r="C305" s="269"/>
      <c r="D305" s="269"/>
      <c r="E305" s="269"/>
      <c r="F305" s="269"/>
      <c r="G305" s="269"/>
      <c r="H305" s="269"/>
      <c r="I305" s="269"/>
      <c r="J305" s="269"/>
      <c r="K305" s="269"/>
      <c r="L305" s="269"/>
      <c r="M305" s="269"/>
    </row>
    <row r="306" spans="2:13">
      <c r="B306" s="269"/>
      <c r="C306" s="269"/>
      <c r="D306" s="269"/>
      <c r="E306" s="269"/>
      <c r="F306" s="269"/>
      <c r="G306" s="269"/>
      <c r="H306" s="269"/>
      <c r="I306" s="269"/>
      <c r="J306" s="269"/>
      <c r="K306" s="269"/>
      <c r="L306" s="269"/>
      <c r="M306" s="269"/>
    </row>
    <row r="307" spans="2:13">
      <c r="B307" s="269"/>
      <c r="C307" s="269"/>
      <c r="D307" s="269"/>
      <c r="E307" s="269"/>
      <c r="F307" s="269"/>
      <c r="G307" s="269"/>
      <c r="H307" s="269"/>
      <c r="I307" s="269"/>
      <c r="J307" s="269"/>
      <c r="K307" s="269"/>
      <c r="L307" s="269"/>
      <c r="M307" s="269"/>
    </row>
    <row r="308" spans="2:13">
      <c r="B308" s="269"/>
      <c r="C308" s="269"/>
      <c r="D308" s="269"/>
      <c r="E308" s="269"/>
      <c r="F308" s="269"/>
      <c r="G308" s="269"/>
      <c r="H308" s="269"/>
      <c r="I308" s="269"/>
      <c r="J308" s="269"/>
      <c r="K308" s="269"/>
      <c r="L308" s="269"/>
      <c r="M308" s="269"/>
    </row>
    <row r="309" spans="2:13">
      <c r="B309" s="269"/>
      <c r="C309" s="269"/>
      <c r="D309" s="269"/>
      <c r="E309" s="269"/>
      <c r="F309" s="269"/>
      <c r="G309" s="269"/>
      <c r="H309" s="269"/>
      <c r="I309" s="269"/>
      <c r="J309" s="269"/>
      <c r="K309" s="269"/>
      <c r="L309" s="269"/>
      <c r="M309" s="269"/>
    </row>
    <row r="310" spans="2:13">
      <c r="B310" s="269"/>
      <c r="C310" s="269"/>
      <c r="D310" s="269"/>
      <c r="E310" s="269"/>
      <c r="F310" s="269"/>
      <c r="G310" s="269"/>
      <c r="H310" s="269"/>
      <c r="I310" s="269"/>
      <c r="J310" s="269"/>
      <c r="K310" s="269"/>
      <c r="L310" s="269"/>
      <c r="M310" s="269"/>
    </row>
    <row r="311" spans="2:13">
      <c r="B311" s="269"/>
      <c r="C311" s="269"/>
      <c r="D311" s="269"/>
      <c r="E311" s="269"/>
      <c r="F311" s="269"/>
      <c r="G311" s="269"/>
      <c r="H311" s="269"/>
      <c r="I311" s="269"/>
      <c r="J311" s="269"/>
      <c r="K311" s="269"/>
      <c r="L311" s="269"/>
      <c r="M311" s="269"/>
    </row>
    <row r="312" spans="2:13">
      <c r="B312" s="269"/>
      <c r="C312" s="269"/>
      <c r="D312" s="269"/>
      <c r="E312" s="269"/>
      <c r="F312" s="269"/>
      <c r="G312" s="269"/>
      <c r="H312" s="269"/>
      <c r="I312" s="269"/>
      <c r="J312" s="269"/>
      <c r="K312" s="269"/>
      <c r="L312" s="269"/>
      <c r="M312" s="269"/>
    </row>
    <row r="313" spans="2:13">
      <c r="B313" s="269"/>
      <c r="C313" s="269"/>
      <c r="D313" s="269"/>
      <c r="E313" s="269"/>
      <c r="F313" s="269"/>
      <c r="G313" s="269"/>
      <c r="H313" s="269"/>
      <c r="I313" s="269"/>
      <c r="J313" s="269"/>
      <c r="K313" s="269"/>
      <c r="L313" s="269"/>
      <c r="M313" s="269"/>
    </row>
    <row r="314" spans="2:13">
      <c r="B314" s="269"/>
      <c r="C314" s="269"/>
      <c r="D314" s="269"/>
      <c r="E314" s="269"/>
      <c r="F314" s="269"/>
      <c r="G314" s="269"/>
      <c r="H314" s="269"/>
      <c r="I314" s="269"/>
      <c r="J314" s="269"/>
      <c r="K314" s="269"/>
      <c r="L314" s="269"/>
      <c r="M314" s="269"/>
    </row>
    <row r="315" spans="2:13">
      <c r="B315" s="269"/>
      <c r="C315" s="269"/>
      <c r="D315" s="269"/>
      <c r="E315" s="269"/>
      <c r="F315" s="269"/>
      <c r="G315" s="269"/>
      <c r="H315" s="269"/>
      <c r="I315" s="269"/>
      <c r="J315" s="269"/>
      <c r="K315" s="269"/>
      <c r="L315" s="269"/>
      <c r="M315" s="269"/>
    </row>
    <row r="316" spans="2:13">
      <c r="B316" s="269"/>
      <c r="C316" s="269"/>
      <c r="D316" s="269"/>
      <c r="E316" s="269"/>
      <c r="F316" s="269"/>
      <c r="G316" s="269"/>
      <c r="H316" s="269"/>
      <c r="I316" s="269"/>
      <c r="J316" s="269"/>
      <c r="K316" s="269"/>
      <c r="L316" s="269"/>
      <c r="M316" s="269"/>
    </row>
    <row r="317" spans="2:13">
      <c r="B317" s="269"/>
      <c r="C317" s="269"/>
      <c r="D317" s="269"/>
      <c r="E317" s="269"/>
      <c r="F317" s="269"/>
      <c r="G317" s="269"/>
      <c r="H317" s="269"/>
      <c r="I317" s="269"/>
      <c r="J317" s="269"/>
      <c r="K317" s="269"/>
      <c r="L317" s="269"/>
      <c r="M317" s="269"/>
    </row>
    <row r="318" spans="2:13">
      <c r="B318" s="269"/>
      <c r="C318" s="269"/>
      <c r="D318" s="269"/>
      <c r="E318" s="269"/>
      <c r="F318" s="269"/>
      <c r="G318" s="269"/>
      <c r="H318" s="269"/>
      <c r="I318" s="269"/>
      <c r="J318" s="269"/>
      <c r="K318" s="269"/>
      <c r="L318" s="269"/>
      <c r="M318" s="269"/>
    </row>
    <row r="319" spans="2:13">
      <c r="B319" s="269"/>
      <c r="C319" s="269"/>
      <c r="D319" s="269"/>
      <c r="E319" s="269"/>
      <c r="F319" s="269"/>
      <c r="G319" s="269"/>
      <c r="H319" s="269"/>
      <c r="I319" s="269"/>
      <c r="J319" s="269"/>
      <c r="K319" s="269"/>
      <c r="L319" s="269"/>
      <c r="M319" s="269"/>
    </row>
    <row r="320" spans="2:13">
      <c r="B320" s="269"/>
      <c r="C320" s="269"/>
      <c r="D320" s="269"/>
      <c r="E320" s="269"/>
      <c r="F320" s="269"/>
      <c r="G320" s="269"/>
      <c r="H320" s="269"/>
      <c r="I320" s="269"/>
      <c r="J320" s="269"/>
      <c r="K320" s="269"/>
      <c r="L320" s="269"/>
      <c r="M320" s="269"/>
    </row>
    <row r="321" spans="2:13">
      <c r="B321" s="269"/>
      <c r="C321" s="269"/>
      <c r="D321" s="269"/>
      <c r="E321" s="269"/>
      <c r="F321" s="269"/>
      <c r="G321" s="269"/>
      <c r="H321" s="269"/>
      <c r="I321" s="269"/>
      <c r="J321" s="269"/>
      <c r="K321" s="269"/>
      <c r="L321" s="269"/>
      <c r="M321" s="269"/>
    </row>
    <row r="322" spans="2:13">
      <c r="B322" s="269"/>
      <c r="C322" s="269"/>
      <c r="D322" s="269"/>
      <c r="E322" s="269"/>
      <c r="F322" s="269"/>
      <c r="G322" s="269"/>
      <c r="H322" s="269"/>
      <c r="I322" s="269"/>
      <c r="J322" s="269"/>
      <c r="K322" s="269"/>
      <c r="L322" s="269"/>
      <c r="M322" s="269"/>
    </row>
    <row r="323" spans="2:13">
      <c r="B323" s="269"/>
      <c r="C323" s="269"/>
      <c r="D323" s="269"/>
      <c r="E323" s="269"/>
      <c r="F323" s="269"/>
      <c r="G323" s="269"/>
      <c r="H323" s="269"/>
      <c r="I323" s="269"/>
      <c r="J323" s="269"/>
      <c r="K323" s="269"/>
      <c r="L323" s="269"/>
      <c r="M323" s="269"/>
    </row>
    <row r="324" spans="2:13">
      <c r="B324" s="269"/>
      <c r="C324" s="269"/>
      <c r="D324" s="269"/>
      <c r="E324" s="269"/>
      <c r="F324" s="269"/>
      <c r="G324" s="269"/>
      <c r="H324" s="269"/>
      <c r="I324" s="269"/>
      <c r="J324" s="269"/>
      <c r="K324" s="269"/>
      <c r="L324" s="269"/>
      <c r="M324" s="269"/>
    </row>
    <row r="325" spans="2:13">
      <c r="B325" s="269"/>
      <c r="C325" s="269"/>
      <c r="D325" s="269"/>
      <c r="E325" s="269"/>
      <c r="F325" s="269"/>
      <c r="G325" s="269"/>
      <c r="H325" s="269"/>
      <c r="I325" s="269"/>
      <c r="J325" s="269"/>
      <c r="K325" s="269"/>
      <c r="L325" s="269"/>
      <c r="M325" s="269"/>
    </row>
    <row r="326" spans="2:13">
      <c r="B326" s="269"/>
      <c r="C326" s="269"/>
      <c r="D326" s="269"/>
      <c r="E326" s="269"/>
      <c r="F326" s="269"/>
      <c r="G326" s="269"/>
      <c r="H326" s="269"/>
      <c r="I326" s="269"/>
      <c r="J326" s="269"/>
      <c r="K326" s="269"/>
      <c r="L326" s="269"/>
      <c r="M326" s="269"/>
    </row>
    <row r="327" spans="2:13">
      <c r="B327" s="269"/>
      <c r="C327" s="269"/>
      <c r="D327" s="269"/>
      <c r="E327" s="269"/>
      <c r="F327" s="269"/>
      <c r="G327" s="269"/>
      <c r="H327" s="269"/>
      <c r="I327" s="269"/>
      <c r="J327" s="269"/>
      <c r="K327" s="269"/>
      <c r="L327" s="269"/>
      <c r="M327" s="269"/>
    </row>
    <row r="328" spans="2:13">
      <c r="B328" s="269"/>
      <c r="C328" s="269"/>
      <c r="D328" s="269"/>
      <c r="E328" s="269"/>
      <c r="F328" s="269"/>
      <c r="G328" s="269"/>
      <c r="H328" s="269"/>
      <c r="I328" s="269"/>
      <c r="J328" s="269"/>
      <c r="K328" s="269"/>
      <c r="L328" s="269"/>
      <c r="M328" s="269"/>
    </row>
    <row r="329" spans="2:13">
      <c r="B329" s="269"/>
      <c r="C329" s="269"/>
      <c r="D329" s="269"/>
      <c r="E329" s="269"/>
      <c r="F329" s="269"/>
      <c r="G329" s="269"/>
      <c r="H329" s="269"/>
      <c r="I329" s="269"/>
      <c r="J329" s="269"/>
      <c r="K329" s="269"/>
      <c r="L329" s="269"/>
      <c r="M329" s="269"/>
    </row>
    <row r="330" spans="2:13">
      <c r="B330" s="269"/>
      <c r="C330" s="269"/>
      <c r="D330" s="269"/>
      <c r="E330" s="269"/>
      <c r="F330" s="269"/>
      <c r="G330" s="269"/>
      <c r="H330" s="269"/>
      <c r="I330" s="269"/>
      <c r="J330" s="269"/>
      <c r="K330" s="269"/>
      <c r="L330" s="269"/>
      <c r="M330" s="269"/>
    </row>
    <row r="331" spans="2:13">
      <c r="B331" s="269"/>
      <c r="C331" s="269"/>
      <c r="D331" s="269"/>
      <c r="E331" s="269"/>
      <c r="F331" s="269"/>
      <c r="G331" s="269"/>
      <c r="H331" s="269"/>
      <c r="I331" s="269"/>
      <c r="J331" s="269"/>
      <c r="K331" s="269"/>
      <c r="L331" s="269"/>
      <c r="M331" s="269"/>
    </row>
    <row r="332" spans="2:13">
      <c r="B332" s="269"/>
      <c r="C332" s="269"/>
      <c r="D332" s="269"/>
      <c r="E332" s="269"/>
      <c r="F332" s="269"/>
      <c r="G332" s="269"/>
      <c r="H332" s="269"/>
      <c r="I332" s="269"/>
      <c r="J332" s="269"/>
      <c r="K332" s="269"/>
      <c r="L332" s="269"/>
      <c r="M332" s="269"/>
    </row>
    <row r="333" spans="2:13">
      <c r="B333" s="269"/>
      <c r="C333" s="269"/>
      <c r="D333" s="269"/>
      <c r="E333" s="269"/>
      <c r="F333" s="269"/>
      <c r="G333" s="269"/>
      <c r="H333" s="269"/>
      <c r="I333" s="269"/>
      <c r="J333" s="269"/>
      <c r="K333" s="269"/>
      <c r="L333" s="269"/>
      <c r="M333" s="269"/>
    </row>
    <row r="334" spans="2:13">
      <c r="B334" s="269"/>
      <c r="C334" s="269"/>
      <c r="D334" s="269"/>
      <c r="E334" s="269"/>
      <c r="F334" s="269"/>
      <c r="G334" s="269"/>
      <c r="H334" s="269"/>
      <c r="I334" s="269"/>
      <c r="J334" s="269"/>
      <c r="K334" s="269"/>
      <c r="L334" s="269"/>
      <c r="M334" s="269"/>
    </row>
    <row r="335" spans="2:13">
      <c r="B335" s="269"/>
      <c r="C335" s="269"/>
      <c r="D335" s="269"/>
      <c r="E335" s="269"/>
      <c r="F335" s="269"/>
      <c r="G335" s="269"/>
      <c r="H335" s="269"/>
      <c r="I335" s="269"/>
      <c r="J335" s="269"/>
      <c r="K335" s="269"/>
      <c r="L335" s="269"/>
      <c r="M335" s="269"/>
    </row>
    <row r="336" spans="2:13">
      <c r="B336" s="269"/>
      <c r="C336" s="269"/>
      <c r="D336" s="269"/>
      <c r="E336" s="269"/>
      <c r="F336" s="269"/>
      <c r="G336" s="269"/>
      <c r="H336" s="269"/>
      <c r="I336" s="269"/>
      <c r="J336" s="269"/>
      <c r="K336" s="269"/>
      <c r="L336" s="269"/>
      <c r="M336" s="269"/>
    </row>
    <row r="337" spans="2:13">
      <c r="B337" s="269"/>
      <c r="C337" s="269"/>
      <c r="D337" s="269"/>
      <c r="E337" s="269"/>
      <c r="F337" s="269"/>
      <c r="G337" s="269"/>
      <c r="H337" s="269"/>
      <c r="I337" s="269"/>
      <c r="J337" s="269"/>
      <c r="K337" s="269"/>
      <c r="L337" s="269"/>
      <c r="M337" s="269"/>
    </row>
    <row r="338" spans="2:13">
      <c r="B338" s="269"/>
      <c r="C338" s="269"/>
      <c r="D338" s="269"/>
      <c r="E338" s="269"/>
      <c r="F338" s="269"/>
      <c r="G338" s="269"/>
      <c r="H338" s="269"/>
      <c r="I338" s="269"/>
      <c r="J338" s="269"/>
      <c r="K338" s="269"/>
      <c r="L338" s="269"/>
      <c r="M338" s="269"/>
    </row>
    <row r="339" spans="2:13">
      <c r="B339" s="269"/>
      <c r="C339" s="269"/>
      <c r="D339" s="269"/>
      <c r="E339" s="269"/>
      <c r="F339" s="269"/>
      <c r="G339" s="269"/>
      <c r="H339" s="269"/>
      <c r="I339" s="269"/>
      <c r="J339" s="269"/>
      <c r="K339" s="269"/>
      <c r="L339" s="269"/>
      <c r="M339" s="269"/>
    </row>
    <row r="340" spans="2:13">
      <c r="B340" s="269"/>
      <c r="C340" s="269"/>
      <c r="D340" s="269"/>
      <c r="E340" s="269"/>
      <c r="F340" s="269"/>
      <c r="G340" s="269"/>
      <c r="H340" s="269"/>
      <c r="I340" s="269"/>
      <c r="J340" s="269"/>
      <c r="K340" s="269"/>
      <c r="L340" s="269"/>
      <c r="M340" s="269"/>
    </row>
    <row r="341" spans="2:13">
      <c r="B341" s="269"/>
      <c r="C341" s="269"/>
      <c r="D341" s="269"/>
      <c r="E341" s="269"/>
      <c r="F341" s="269"/>
      <c r="G341" s="269"/>
      <c r="H341" s="269"/>
      <c r="I341" s="269"/>
      <c r="J341" s="269"/>
      <c r="K341" s="269"/>
      <c r="L341" s="269"/>
      <c r="M341" s="269"/>
    </row>
    <row r="342" spans="2:13">
      <c r="B342" s="269"/>
      <c r="C342" s="269"/>
      <c r="D342" s="269"/>
      <c r="E342" s="269"/>
      <c r="F342" s="269"/>
      <c r="G342" s="269"/>
      <c r="H342" s="269"/>
      <c r="I342" s="269"/>
      <c r="J342" s="269"/>
      <c r="K342" s="269"/>
      <c r="L342" s="269"/>
      <c r="M342" s="269"/>
    </row>
    <row r="343" spans="2:13">
      <c r="B343" s="269"/>
      <c r="C343" s="269"/>
      <c r="D343" s="269"/>
      <c r="E343" s="269"/>
      <c r="F343" s="269"/>
      <c r="G343" s="269"/>
      <c r="H343" s="269"/>
      <c r="I343" s="269"/>
      <c r="J343" s="269"/>
      <c r="K343" s="269"/>
      <c r="L343" s="269"/>
      <c r="M343" s="269"/>
    </row>
    <row r="344" spans="2:13">
      <c r="B344" s="269"/>
      <c r="C344" s="269"/>
      <c r="D344" s="269"/>
      <c r="E344" s="269"/>
      <c r="F344" s="269"/>
      <c r="G344" s="269"/>
      <c r="H344" s="269"/>
      <c r="I344" s="269"/>
      <c r="J344" s="269"/>
      <c r="K344" s="269"/>
      <c r="L344" s="269"/>
      <c r="M344" s="269"/>
    </row>
    <row r="345" spans="2:13">
      <c r="B345" s="269"/>
      <c r="C345" s="269"/>
      <c r="D345" s="269"/>
      <c r="E345" s="269"/>
      <c r="F345" s="269"/>
      <c r="G345" s="269"/>
      <c r="H345" s="269"/>
      <c r="I345" s="269"/>
      <c r="J345" s="269"/>
      <c r="K345" s="269"/>
      <c r="L345" s="269"/>
      <c r="M345" s="269"/>
    </row>
    <row r="346" spans="2:13">
      <c r="B346" s="269"/>
      <c r="C346" s="269"/>
      <c r="D346" s="269"/>
      <c r="E346" s="269"/>
      <c r="F346" s="269"/>
      <c r="G346" s="269"/>
      <c r="H346" s="269"/>
      <c r="I346" s="269"/>
      <c r="J346" s="269"/>
      <c r="K346" s="269"/>
      <c r="L346" s="269"/>
      <c r="M346" s="269"/>
    </row>
    <row r="347" spans="2:13">
      <c r="B347" s="269"/>
      <c r="C347" s="269"/>
      <c r="D347" s="269"/>
      <c r="E347" s="269"/>
      <c r="F347" s="269"/>
      <c r="G347" s="269"/>
      <c r="H347" s="269"/>
      <c r="I347" s="269"/>
      <c r="J347" s="269"/>
      <c r="K347" s="269"/>
      <c r="L347" s="269"/>
      <c r="M347" s="269"/>
    </row>
    <row r="348" spans="2:13">
      <c r="B348" s="269"/>
      <c r="C348" s="269"/>
      <c r="D348" s="269"/>
      <c r="E348" s="269"/>
      <c r="F348" s="269"/>
      <c r="G348" s="269"/>
      <c r="H348" s="269"/>
      <c r="I348" s="269"/>
      <c r="J348" s="269"/>
      <c r="K348" s="269"/>
      <c r="L348" s="269"/>
      <c r="M348" s="269"/>
    </row>
    <row r="349" spans="2:13">
      <c r="B349" s="269"/>
      <c r="C349" s="269"/>
      <c r="D349" s="269"/>
      <c r="E349" s="269"/>
      <c r="F349" s="269"/>
      <c r="G349" s="269"/>
      <c r="H349" s="269"/>
      <c r="I349" s="269"/>
      <c r="J349" s="269"/>
      <c r="K349" s="269"/>
      <c r="L349" s="269"/>
      <c r="M349" s="269"/>
    </row>
    <row r="350" spans="2:13">
      <c r="B350" s="269"/>
      <c r="C350" s="269"/>
      <c r="D350" s="269"/>
      <c r="E350" s="269"/>
      <c r="F350" s="269"/>
      <c r="G350" s="269"/>
      <c r="H350" s="269"/>
      <c r="I350" s="269"/>
      <c r="J350" s="269"/>
      <c r="K350" s="269"/>
      <c r="L350" s="269"/>
      <c r="M350" s="269"/>
    </row>
    <row r="351" spans="2:13">
      <c r="B351" s="269"/>
      <c r="C351" s="269"/>
      <c r="D351" s="269"/>
      <c r="E351" s="269"/>
      <c r="F351" s="269"/>
      <c r="G351" s="269"/>
      <c r="H351" s="269"/>
      <c r="I351" s="269"/>
      <c r="J351" s="269"/>
      <c r="K351" s="269"/>
      <c r="L351" s="269"/>
      <c r="M351" s="269"/>
    </row>
    <row r="352" spans="2:13">
      <c r="B352" s="269"/>
      <c r="C352" s="269"/>
      <c r="D352" s="269"/>
      <c r="E352" s="269"/>
      <c r="F352" s="269"/>
      <c r="G352" s="269"/>
      <c r="H352" s="269"/>
      <c r="I352" s="269"/>
      <c r="J352" s="269"/>
      <c r="K352" s="269"/>
      <c r="L352" s="269"/>
      <c r="M352" s="269"/>
    </row>
    <row r="353" spans="2:13">
      <c r="B353" s="269"/>
      <c r="C353" s="269"/>
      <c r="D353" s="269"/>
      <c r="E353" s="269"/>
      <c r="F353" s="269"/>
      <c r="G353" s="269"/>
      <c r="H353" s="269"/>
      <c r="I353" s="269"/>
      <c r="J353" s="269"/>
      <c r="K353" s="269"/>
      <c r="L353" s="269"/>
      <c r="M353" s="269"/>
    </row>
    <row r="354" spans="2:13">
      <c r="B354" s="269"/>
      <c r="C354" s="269"/>
      <c r="D354" s="269"/>
      <c r="E354" s="269"/>
      <c r="F354" s="269"/>
      <c r="G354" s="269"/>
      <c r="H354" s="269"/>
      <c r="I354" s="269"/>
      <c r="J354" s="269"/>
      <c r="K354" s="269"/>
      <c r="L354" s="269"/>
      <c r="M354" s="269"/>
    </row>
    <row r="355" spans="2:13">
      <c r="B355" s="269"/>
      <c r="C355" s="269"/>
      <c r="D355" s="269"/>
      <c r="E355" s="269"/>
      <c r="F355" s="269"/>
      <c r="G355" s="269"/>
      <c r="H355" s="269"/>
      <c r="I355" s="269"/>
      <c r="J355" s="269"/>
      <c r="K355" s="269"/>
      <c r="L355" s="269"/>
      <c r="M355" s="269"/>
    </row>
    <row r="356" spans="2:13">
      <c r="B356" s="269"/>
      <c r="C356" s="269"/>
      <c r="D356" s="269"/>
      <c r="E356" s="269"/>
      <c r="F356" s="269"/>
      <c r="G356" s="269"/>
      <c r="H356" s="269"/>
      <c r="I356" s="269"/>
      <c r="J356" s="269"/>
      <c r="K356" s="269"/>
      <c r="L356" s="269"/>
      <c r="M356" s="269"/>
    </row>
    <row r="357" spans="2:13">
      <c r="B357" s="269"/>
      <c r="C357" s="269"/>
      <c r="D357" s="269"/>
      <c r="E357" s="269"/>
      <c r="F357" s="269"/>
      <c r="G357" s="269"/>
      <c r="H357" s="269"/>
      <c r="I357" s="269"/>
      <c r="J357" s="269"/>
      <c r="K357" s="269"/>
      <c r="L357" s="269"/>
      <c r="M357" s="269"/>
    </row>
    <row r="358" spans="2:13">
      <c r="B358" s="269"/>
      <c r="C358" s="269"/>
      <c r="D358" s="269"/>
      <c r="E358" s="269"/>
      <c r="F358" s="269"/>
      <c r="G358" s="269"/>
      <c r="H358" s="269"/>
      <c r="I358" s="269"/>
      <c r="J358" s="269"/>
      <c r="K358" s="269"/>
      <c r="L358" s="269"/>
      <c r="M358" s="269"/>
    </row>
    <row r="359" spans="2:13">
      <c r="B359" s="269"/>
      <c r="C359" s="269"/>
      <c r="D359" s="269"/>
      <c r="E359" s="269"/>
      <c r="F359" s="269"/>
      <c r="G359" s="269"/>
      <c r="H359" s="269"/>
      <c r="I359" s="269"/>
      <c r="J359" s="269"/>
      <c r="K359" s="269"/>
      <c r="L359" s="269"/>
      <c r="M359" s="269"/>
    </row>
    <row r="360" spans="2:13">
      <c r="B360" s="269"/>
      <c r="C360" s="269"/>
      <c r="D360" s="269"/>
      <c r="E360" s="269"/>
      <c r="F360" s="269"/>
      <c r="G360" s="269"/>
      <c r="H360" s="269"/>
      <c r="I360" s="269"/>
      <c r="J360" s="269"/>
      <c r="K360" s="269"/>
      <c r="L360" s="269"/>
      <c r="M360" s="269"/>
    </row>
    <row r="361" spans="2:13">
      <c r="B361" s="269"/>
      <c r="C361" s="269"/>
      <c r="D361" s="269"/>
      <c r="E361" s="269"/>
      <c r="F361" s="269"/>
      <c r="G361" s="269"/>
      <c r="H361" s="269"/>
      <c r="I361" s="269"/>
      <c r="J361" s="269"/>
      <c r="K361" s="269"/>
      <c r="L361" s="269"/>
      <c r="M361" s="269"/>
    </row>
    <row r="362" spans="2:13">
      <c r="B362" s="269"/>
      <c r="C362" s="269"/>
      <c r="D362" s="269"/>
      <c r="E362" s="269"/>
      <c r="F362" s="269"/>
      <c r="G362" s="269"/>
      <c r="H362" s="269"/>
      <c r="I362" s="269"/>
      <c r="J362" s="269"/>
      <c r="K362" s="269"/>
      <c r="L362" s="269"/>
      <c r="M362" s="269"/>
    </row>
    <row r="363" spans="2:13">
      <c r="B363" s="269"/>
      <c r="C363" s="269"/>
      <c r="D363" s="269"/>
      <c r="E363" s="269"/>
      <c r="F363" s="269"/>
      <c r="G363" s="269"/>
      <c r="H363" s="269"/>
      <c r="I363" s="269"/>
      <c r="J363" s="269"/>
      <c r="K363" s="269"/>
      <c r="L363" s="269"/>
      <c r="M363" s="269"/>
    </row>
    <row r="364" spans="2:13">
      <c r="B364" s="269"/>
      <c r="C364" s="269"/>
      <c r="D364" s="269"/>
      <c r="E364" s="269"/>
      <c r="F364" s="269"/>
      <c r="G364" s="269"/>
      <c r="H364" s="269"/>
      <c r="I364" s="269"/>
      <c r="J364" s="269"/>
      <c r="K364" s="269"/>
      <c r="L364" s="269"/>
      <c r="M364" s="269"/>
    </row>
    <row r="365" spans="2:13">
      <c r="B365" s="269"/>
      <c r="C365" s="269"/>
      <c r="D365" s="269"/>
      <c r="E365" s="269"/>
      <c r="F365" s="269"/>
      <c r="G365" s="269"/>
      <c r="H365" s="269"/>
      <c r="I365" s="269"/>
      <c r="J365" s="269"/>
      <c r="K365" s="269"/>
      <c r="L365" s="269"/>
      <c r="M365" s="269"/>
    </row>
    <row r="366" spans="2:13">
      <c r="B366" s="269"/>
      <c r="C366" s="269"/>
      <c r="D366" s="269"/>
      <c r="E366" s="269"/>
      <c r="F366" s="269"/>
      <c r="G366" s="269"/>
      <c r="H366" s="269"/>
      <c r="I366" s="269"/>
      <c r="J366" s="269"/>
      <c r="K366" s="269"/>
      <c r="L366" s="269"/>
      <c r="M366" s="269"/>
    </row>
    <row r="367" spans="2:13">
      <c r="B367" s="269"/>
      <c r="C367" s="269"/>
      <c r="D367" s="269"/>
      <c r="E367" s="269"/>
      <c r="F367" s="269"/>
      <c r="G367" s="269"/>
      <c r="H367" s="269"/>
      <c r="I367" s="269"/>
      <c r="J367" s="269"/>
      <c r="K367" s="269"/>
      <c r="L367" s="269"/>
      <c r="M367" s="269"/>
    </row>
    <row r="368" spans="2:13">
      <c r="B368" s="269"/>
      <c r="C368" s="269"/>
      <c r="D368" s="269"/>
      <c r="E368" s="269"/>
      <c r="F368" s="269"/>
      <c r="G368" s="269"/>
      <c r="H368" s="269"/>
      <c r="I368" s="269"/>
      <c r="J368" s="269"/>
      <c r="K368" s="269"/>
      <c r="L368" s="269"/>
      <c r="M368" s="269"/>
    </row>
    <row r="369" spans="2:13">
      <c r="B369" s="269"/>
      <c r="C369" s="269"/>
      <c r="D369" s="269"/>
      <c r="E369" s="269"/>
      <c r="F369" s="269"/>
      <c r="G369" s="269"/>
      <c r="H369" s="269"/>
      <c r="I369" s="269"/>
      <c r="J369" s="269"/>
      <c r="K369" s="269"/>
      <c r="L369" s="269"/>
      <c r="M369" s="269"/>
    </row>
    <row r="370" spans="2:13">
      <c r="B370" s="269"/>
      <c r="C370" s="269"/>
      <c r="D370" s="269"/>
      <c r="E370" s="269"/>
      <c r="F370" s="269"/>
      <c r="G370" s="269"/>
      <c r="H370" s="269"/>
      <c r="I370" s="269"/>
      <c r="J370" s="269"/>
      <c r="K370" s="269"/>
      <c r="L370" s="269"/>
      <c r="M370" s="269"/>
    </row>
    <row r="371" spans="2:13">
      <c r="B371" s="269"/>
      <c r="C371" s="269"/>
      <c r="D371" s="269"/>
      <c r="E371" s="269"/>
      <c r="F371" s="269"/>
      <c r="G371" s="269"/>
      <c r="H371" s="269"/>
      <c r="I371" s="269"/>
      <c r="J371" s="269"/>
      <c r="K371" s="269"/>
      <c r="L371" s="269"/>
      <c r="M371" s="269"/>
    </row>
    <row r="372" spans="2:13">
      <c r="B372" s="269"/>
      <c r="C372" s="269"/>
      <c r="D372" s="269"/>
      <c r="E372" s="269"/>
      <c r="F372" s="269"/>
      <c r="G372" s="269"/>
      <c r="H372" s="269"/>
      <c r="I372" s="269"/>
      <c r="J372" s="269"/>
      <c r="K372" s="269"/>
      <c r="L372" s="269"/>
      <c r="M372" s="269"/>
    </row>
    <row r="373" spans="2:13">
      <c r="B373" s="269"/>
      <c r="C373" s="269"/>
      <c r="D373" s="269"/>
      <c r="E373" s="269"/>
      <c r="F373" s="269"/>
      <c r="G373" s="269"/>
      <c r="H373" s="269"/>
      <c r="I373" s="269"/>
      <c r="J373" s="269"/>
      <c r="K373" s="269"/>
      <c r="L373" s="269"/>
      <c r="M373" s="269"/>
    </row>
    <row r="374" spans="2:13">
      <c r="B374" s="269"/>
      <c r="C374" s="269"/>
      <c r="D374" s="269"/>
      <c r="E374" s="269"/>
      <c r="F374" s="269"/>
      <c r="G374" s="269"/>
      <c r="H374" s="269"/>
      <c r="I374" s="269"/>
      <c r="J374" s="269"/>
      <c r="K374" s="269"/>
      <c r="L374" s="269"/>
      <c r="M374" s="269"/>
    </row>
    <row r="375" spans="2:13">
      <c r="B375" s="269"/>
      <c r="C375" s="269"/>
      <c r="D375" s="269"/>
      <c r="E375" s="269"/>
      <c r="F375" s="269"/>
      <c r="G375" s="269"/>
      <c r="H375" s="269"/>
      <c r="I375" s="269"/>
      <c r="J375" s="269"/>
      <c r="K375" s="269"/>
      <c r="L375" s="269"/>
      <c r="M375" s="269"/>
    </row>
    <row r="376" spans="2:13">
      <c r="B376" s="269"/>
      <c r="C376" s="269"/>
      <c r="D376" s="269"/>
      <c r="E376" s="269"/>
      <c r="F376" s="269"/>
      <c r="G376" s="269"/>
      <c r="H376" s="269"/>
      <c r="I376" s="269"/>
      <c r="J376" s="269"/>
      <c r="K376" s="269"/>
      <c r="L376" s="269"/>
      <c r="M376" s="269"/>
    </row>
    <row r="377" spans="2:13">
      <c r="B377" s="269"/>
      <c r="C377" s="269"/>
      <c r="D377" s="269"/>
      <c r="E377" s="269"/>
      <c r="F377" s="269"/>
      <c r="G377" s="269"/>
      <c r="H377" s="269"/>
      <c r="I377" s="269"/>
      <c r="J377" s="269"/>
      <c r="K377" s="269"/>
      <c r="L377" s="269"/>
      <c r="M377" s="269"/>
    </row>
    <row r="378" spans="2:13">
      <c r="B378" s="269"/>
      <c r="C378" s="269"/>
      <c r="D378" s="269"/>
      <c r="E378" s="269"/>
      <c r="F378" s="269"/>
      <c r="G378" s="269"/>
      <c r="H378" s="269"/>
      <c r="I378" s="269"/>
      <c r="J378" s="269"/>
      <c r="K378" s="269"/>
      <c r="L378" s="269"/>
      <c r="M378" s="269"/>
    </row>
    <row r="379" spans="2:13">
      <c r="B379" s="269"/>
      <c r="C379" s="269"/>
      <c r="D379" s="269"/>
      <c r="E379" s="269"/>
      <c r="F379" s="269"/>
      <c r="G379" s="269"/>
      <c r="H379" s="269"/>
      <c r="I379" s="269"/>
      <c r="J379" s="269"/>
      <c r="K379" s="269"/>
      <c r="L379" s="269"/>
      <c r="M379" s="269"/>
    </row>
    <row r="380" spans="2:13">
      <c r="B380" s="269"/>
      <c r="C380" s="269"/>
      <c r="D380" s="269"/>
      <c r="E380" s="269"/>
      <c r="F380" s="269"/>
      <c r="G380" s="269"/>
      <c r="H380" s="269"/>
      <c r="I380" s="269"/>
      <c r="J380" s="269"/>
      <c r="K380" s="269"/>
      <c r="L380" s="269"/>
      <c r="M380" s="269"/>
    </row>
    <row r="381" spans="2:13">
      <c r="B381" s="269"/>
      <c r="C381" s="269"/>
      <c r="D381" s="269"/>
      <c r="E381" s="269"/>
      <c r="F381" s="269"/>
      <c r="G381" s="269"/>
      <c r="H381" s="269"/>
      <c r="I381" s="269"/>
      <c r="J381" s="269"/>
      <c r="K381" s="269"/>
      <c r="L381" s="269"/>
      <c r="M381" s="269"/>
    </row>
    <row r="382" spans="2:13">
      <c r="B382" s="269"/>
      <c r="C382" s="269"/>
      <c r="D382" s="269"/>
      <c r="E382" s="269"/>
      <c r="F382" s="269"/>
      <c r="G382" s="269"/>
      <c r="H382" s="269"/>
      <c r="I382" s="269"/>
      <c r="J382" s="269"/>
      <c r="K382" s="269"/>
      <c r="L382" s="269"/>
      <c r="M382" s="269"/>
    </row>
    <row r="383" spans="2:13">
      <c r="B383" s="269"/>
      <c r="C383" s="269"/>
      <c r="D383" s="269"/>
      <c r="E383" s="269"/>
      <c r="F383" s="269"/>
      <c r="G383" s="269"/>
      <c r="H383" s="269"/>
      <c r="I383" s="269"/>
      <c r="J383" s="269"/>
      <c r="K383" s="269"/>
      <c r="L383" s="269"/>
      <c r="M383" s="269"/>
    </row>
    <row r="384" spans="2:13">
      <c r="B384" s="269"/>
      <c r="C384" s="269"/>
      <c r="D384" s="269"/>
      <c r="E384" s="269"/>
      <c r="F384" s="269"/>
      <c r="G384" s="269"/>
      <c r="H384" s="269"/>
      <c r="I384" s="269"/>
      <c r="J384" s="269"/>
      <c r="K384" s="269"/>
      <c r="L384" s="269"/>
      <c r="M384" s="269"/>
    </row>
    <row r="385" spans="2:13">
      <c r="B385" s="269"/>
      <c r="C385" s="269"/>
      <c r="D385" s="269"/>
      <c r="E385" s="269"/>
      <c r="F385" s="269"/>
      <c r="G385" s="269"/>
      <c r="H385" s="269"/>
      <c r="I385" s="269"/>
      <c r="J385" s="269"/>
      <c r="K385" s="269"/>
      <c r="L385" s="269"/>
      <c r="M385" s="269"/>
    </row>
    <row r="386" spans="2:13">
      <c r="B386" s="269"/>
      <c r="C386" s="269"/>
      <c r="D386" s="269"/>
      <c r="E386" s="269"/>
      <c r="F386" s="269"/>
      <c r="G386" s="269"/>
      <c r="H386" s="269"/>
      <c r="I386" s="269"/>
      <c r="J386" s="269"/>
      <c r="K386" s="269"/>
      <c r="L386" s="269"/>
      <c r="M386" s="269"/>
    </row>
    <row r="387" spans="2:13">
      <c r="B387" s="269"/>
      <c r="C387" s="269"/>
      <c r="D387" s="269"/>
      <c r="E387" s="269"/>
      <c r="F387" s="269"/>
      <c r="G387" s="269"/>
      <c r="H387" s="269"/>
      <c r="I387" s="269"/>
      <c r="J387" s="269"/>
      <c r="K387" s="269"/>
      <c r="L387" s="269"/>
      <c r="M387" s="269"/>
    </row>
    <row r="388" spans="2:13">
      <c r="B388" s="269"/>
      <c r="C388" s="269"/>
      <c r="D388" s="269"/>
      <c r="E388" s="269"/>
      <c r="F388" s="269"/>
      <c r="G388" s="269"/>
      <c r="H388" s="269"/>
      <c r="I388" s="269"/>
      <c r="J388" s="269"/>
      <c r="K388" s="269"/>
      <c r="L388" s="269"/>
      <c r="M388" s="269"/>
    </row>
    <row r="389" spans="2:13">
      <c r="B389" s="269"/>
      <c r="C389" s="269"/>
      <c r="D389" s="269"/>
      <c r="E389" s="269"/>
      <c r="F389" s="269"/>
      <c r="G389" s="269"/>
      <c r="H389" s="269"/>
      <c r="I389" s="269"/>
      <c r="J389" s="269"/>
      <c r="K389" s="269"/>
      <c r="L389" s="269"/>
      <c r="M389" s="269"/>
    </row>
    <row r="390" spans="2:13">
      <c r="B390" s="269"/>
      <c r="C390" s="269"/>
      <c r="D390" s="269"/>
      <c r="E390" s="269"/>
      <c r="F390" s="269"/>
      <c r="G390" s="269"/>
      <c r="H390" s="269"/>
      <c r="I390" s="269"/>
      <c r="J390" s="269"/>
      <c r="K390" s="269"/>
      <c r="L390" s="269"/>
      <c r="M390" s="269"/>
    </row>
    <row r="391" spans="2:13">
      <c r="B391" s="269"/>
      <c r="C391" s="269"/>
      <c r="D391" s="269"/>
      <c r="E391" s="269"/>
      <c r="F391" s="269"/>
      <c r="G391" s="269"/>
      <c r="H391" s="269"/>
      <c r="I391" s="269"/>
      <c r="J391" s="269"/>
      <c r="K391" s="269"/>
      <c r="L391" s="269"/>
      <c r="M391" s="269"/>
    </row>
    <row r="392" spans="2:13">
      <c r="B392" s="269"/>
      <c r="C392" s="269"/>
      <c r="D392" s="269"/>
      <c r="E392" s="269"/>
      <c r="F392" s="269"/>
      <c r="G392" s="269"/>
      <c r="H392" s="269"/>
      <c r="I392" s="269"/>
      <c r="J392" s="269"/>
      <c r="K392" s="269"/>
      <c r="L392" s="269"/>
      <c r="M392" s="269"/>
    </row>
    <row r="393" spans="2:13">
      <c r="B393" s="269"/>
      <c r="C393" s="269"/>
      <c r="D393" s="269"/>
      <c r="E393" s="269"/>
      <c r="F393" s="269"/>
      <c r="G393" s="269"/>
      <c r="H393" s="269"/>
      <c r="I393" s="269"/>
      <c r="J393" s="269"/>
      <c r="K393" s="269"/>
      <c r="L393" s="269"/>
      <c r="M393" s="269"/>
    </row>
    <row r="394" spans="2:13">
      <c r="B394" s="269"/>
      <c r="C394" s="269"/>
      <c r="D394" s="269"/>
      <c r="E394" s="269"/>
      <c r="F394" s="269"/>
      <c r="G394" s="269"/>
      <c r="H394" s="269"/>
      <c r="I394" s="269"/>
      <c r="J394" s="269"/>
      <c r="K394" s="269"/>
      <c r="L394" s="269"/>
      <c r="M394" s="269"/>
    </row>
    <row r="395" spans="2:13">
      <c r="B395" s="269"/>
      <c r="C395" s="269"/>
      <c r="D395" s="269"/>
      <c r="E395" s="269"/>
      <c r="F395" s="269"/>
      <c r="G395" s="269"/>
      <c r="H395" s="269"/>
      <c r="I395" s="269"/>
      <c r="J395" s="269"/>
      <c r="K395" s="269"/>
      <c r="L395" s="269"/>
      <c r="M395" s="269"/>
    </row>
    <row r="396" spans="2:13">
      <c r="B396" s="269"/>
      <c r="C396" s="269"/>
      <c r="D396" s="269"/>
      <c r="E396" s="269"/>
      <c r="F396" s="269"/>
      <c r="G396" s="269"/>
      <c r="H396" s="269"/>
      <c r="I396" s="269"/>
      <c r="J396" s="269"/>
      <c r="K396" s="269"/>
      <c r="L396" s="269"/>
      <c r="M396" s="269"/>
    </row>
    <row r="397" spans="2:13">
      <c r="B397" s="269"/>
      <c r="C397" s="269"/>
      <c r="D397" s="269"/>
      <c r="E397" s="269"/>
      <c r="F397" s="269"/>
      <c r="G397" s="269"/>
      <c r="H397" s="269"/>
      <c r="I397" s="269"/>
      <c r="J397" s="269"/>
      <c r="K397" s="269"/>
      <c r="L397" s="269"/>
      <c r="M397" s="269"/>
    </row>
    <row r="398" spans="2:13">
      <c r="B398" s="269"/>
      <c r="C398" s="269"/>
      <c r="D398" s="269"/>
      <c r="E398" s="269"/>
      <c r="F398" s="269"/>
      <c r="G398" s="269"/>
      <c r="H398" s="269"/>
      <c r="I398" s="269"/>
      <c r="J398" s="269"/>
      <c r="K398" s="269"/>
      <c r="L398" s="269"/>
      <c r="M398" s="269"/>
    </row>
    <row r="399" spans="2:13">
      <c r="B399" s="269"/>
      <c r="C399" s="269"/>
      <c r="D399" s="269"/>
      <c r="E399" s="269"/>
      <c r="F399" s="269"/>
      <c r="G399" s="269"/>
      <c r="H399" s="269"/>
      <c r="I399" s="269"/>
      <c r="J399" s="269"/>
      <c r="K399" s="269"/>
      <c r="L399" s="269"/>
      <c r="M399" s="269"/>
    </row>
    <row r="400" spans="2:13">
      <c r="B400" s="269"/>
      <c r="C400" s="269"/>
      <c r="D400" s="269"/>
      <c r="E400" s="269"/>
      <c r="F400" s="269"/>
      <c r="G400" s="269"/>
      <c r="H400" s="269"/>
      <c r="I400" s="269"/>
      <c r="J400" s="269"/>
      <c r="K400" s="269"/>
      <c r="L400" s="269"/>
      <c r="M400" s="269"/>
    </row>
    <row r="401" spans="2:13">
      <c r="B401" s="269"/>
      <c r="C401" s="269"/>
      <c r="D401" s="269"/>
      <c r="E401" s="269"/>
      <c r="F401" s="269"/>
      <c r="G401" s="269"/>
      <c r="H401" s="269"/>
      <c r="I401" s="269"/>
      <c r="J401" s="269"/>
      <c r="K401" s="269"/>
      <c r="L401" s="269"/>
      <c r="M401" s="269"/>
    </row>
    <row r="402" spans="2:13">
      <c r="B402" s="269"/>
      <c r="C402" s="269"/>
      <c r="D402" s="269"/>
      <c r="E402" s="269"/>
      <c r="F402" s="269"/>
      <c r="G402" s="269"/>
      <c r="H402" s="269"/>
      <c r="I402" s="269"/>
      <c r="J402" s="269"/>
      <c r="K402" s="269"/>
      <c r="L402" s="269"/>
      <c r="M402" s="269"/>
    </row>
    <row r="403" spans="2:13">
      <c r="B403" s="269"/>
      <c r="C403" s="269"/>
      <c r="D403" s="269"/>
      <c r="E403" s="269"/>
      <c r="F403" s="269"/>
      <c r="G403" s="269"/>
      <c r="H403" s="269"/>
      <c r="I403" s="269"/>
      <c r="J403" s="269"/>
      <c r="K403" s="269"/>
      <c r="L403" s="269"/>
      <c r="M403" s="269"/>
    </row>
    <row r="404" spans="2:13">
      <c r="B404" s="269"/>
      <c r="C404" s="269"/>
      <c r="D404" s="269"/>
      <c r="E404" s="269"/>
      <c r="F404" s="269"/>
      <c r="G404" s="269"/>
      <c r="H404" s="269"/>
      <c r="I404" s="269"/>
      <c r="J404" s="269"/>
      <c r="K404" s="269"/>
      <c r="L404" s="269"/>
      <c r="M404" s="269"/>
    </row>
    <row r="405" spans="2:13">
      <c r="B405" s="269"/>
      <c r="C405" s="269"/>
      <c r="D405" s="269"/>
      <c r="E405" s="269"/>
      <c r="F405" s="269"/>
      <c r="G405" s="269"/>
      <c r="H405" s="269"/>
      <c r="I405" s="269"/>
      <c r="J405" s="269"/>
      <c r="K405" s="269"/>
      <c r="L405" s="269"/>
      <c r="M405" s="269"/>
    </row>
    <row r="406" spans="2:13">
      <c r="B406" s="269"/>
      <c r="C406" s="269"/>
      <c r="D406" s="269"/>
      <c r="E406" s="269"/>
      <c r="F406" s="269"/>
      <c r="G406" s="269"/>
      <c r="H406" s="269"/>
      <c r="I406" s="269"/>
      <c r="J406" s="269"/>
      <c r="K406" s="269"/>
      <c r="L406" s="269"/>
      <c r="M406" s="269"/>
    </row>
    <row r="407" spans="2:13">
      <c r="B407" s="269"/>
      <c r="C407" s="269"/>
      <c r="D407" s="269"/>
      <c r="E407" s="269"/>
      <c r="F407" s="269"/>
      <c r="G407" s="269"/>
      <c r="H407" s="269"/>
      <c r="I407" s="269"/>
      <c r="J407" s="269"/>
      <c r="K407" s="269"/>
      <c r="L407" s="269"/>
      <c r="M407" s="269"/>
    </row>
    <row r="408" spans="2:13">
      <c r="B408" s="269"/>
      <c r="C408" s="269"/>
      <c r="D408" s="269"/>
      <c r="E408" s="269"/>
      <c r="F408" s="269"/>
      <c r="G408" s="269"/>
      <c r="H408" s="269"/>
      <c r="I408" s="269"/>
      <c r="J408" s="269"/>
      <c r="K408" s="269"/>
      <c r="L408" s="269"/>
      <c r="M408" s="269"/>
    </row>
    <row r="409" spans="2:13">
      <c r="B409" s="269"/>
      <c r="C409" s="269"/>
      <c r="D409" s="269"/>
      <c r="E409" s="269"/>
      <c r="F409" s="269"/>
      <c r="G409" s="269"/>
      <c r="H409" s="269"/>
      <c r="I409" s="269"/>
      <c r="J409" s="269"/>
      <c r="K409" s="269"/>
      <c r="L409" s="269"/>
      <c r="M409" s="269"/>
    </row>
    <row r="410" spans="2:13">
      <c r="B410" s="269"/>
      <c r="C410" s="269"/>
      <c r="D410" s="269"/>
      <c r="E410" s="269"/>
      <c r="F410" s="269"/>
      <c r="G410" s="269"/>
      <c r="H410" s="269"/>
      <c r="I410" s="269"/>
      <c r="J410" s="269"/>
      <c r="K410" s="269"/>
      <c r="L410" s="269"/>
      <c r="M410" s="269"/>
    </row>
    <row r="411" spans="2:13">
      <c r="B411" s="269"/>
      <c r="C411" s="269"/>
      <c r="D411" s="269"/>
      <c r="E411" s="269"/>
      <c r="F411" s="269"/>
      <c r="G411" s="269"/>
      <c r="H411" s="269"/>
      <c r="I411" s="269"/>
      <c r="J411" s="269"/>
      <c r="K411" s="269"/>
      <c r="L411" s="269"/>
      <c r="M411" s="269"/>
    </row>
    <row r="412" spans="2:13">
      <c r="B412" s="269"/>
      <c r="C412" s="269"/>
      <c r="D412" s="269"/>
      <c r="E412" s="269"/>
      <c r="F412" s="269"/>
      <c r="G412" s="269"/>
      <c r="H412" s="269"/>
      <c r="I412" s="269"/>
      <c r="J412" s="269"/>
      <c r="K412" s="269"/>
      <c r="L412" s="269"/>
      <c r="M412" s="269"/>
    </row>
    <row r="413" spans="2:13">
      <c r="B413" s="269"/>
      <c r="C413" s="269"/>
      <c r="D413" s="269"/>
      <c r="E413" s="269"/>
      <c r="F413" s="269"/>
      <c r="G413" s="269"/>
      <c r="H413" s="269"/>
      <c r="I413" s="269"/>
      <c r="J413" s="269"/>
      <c r="K413" s="269"/>
      <c r="L413" s="269"/>
      <c r="M413" s="269"/>
    </row>
    <row r="414" spans="2:13">
      <c r="B414" s="269"/>
      <c r="C414" s="269"/>
      <c r="D414" s="269"/>
      <c r="E414" s="269"/>
      <c r="F414" s="269"/>
      <c r="G414" s="269"/>
      <c r="H414" s="269"/>
      <c r="I414" s="269"/>
      <c r="J414" s="269"/>
      <c r="K414" s="269"/>
      <c r="L414" s="269"/>
      <c r="M414" s="269"/>
    </row>
    <row r="415" spans="2:13">
      <c r="B415" s="269"/>
      <c r="C415" s="269"/>
      <c r="D415" s="269"/>
      <c r="E415" s="269"/>
      <c r="F415" s="269"/>
      <c r="G415" s="269"/>
      <c r="H415" s="269"/>
      <c r="I415" s="269"/>
      <c r="J415" s="269"/>
      <c r="K415" s="269"/>
      <c r="L415" s="269"/>
      <c r="M415" s="269"/>
    </row>
    <row r="416" spans="2:13">
      <c r="B416" s="269"/>
      <c r="C416" s="269"/>
      <c r="D416" s="269"/>
      <c r="E416" s="269"/>
      <c r="F416" s="269"/>
      <c r="G416" s="269"/>
      <c r="H416" s="269"/>
      <c r="I416" s="269"/>
      <c r="J416" s="269"/>
      <c r="K416" s="269"/>
      <c r="L416" s="269"/>
      <c r="M416" s="269"/>
    </row>
    <row r="417" spans="2:13">
      <c r="B417" s="269"/>
      <c r="C417" s="269"/>
      <c r="D417" s="269"/>
      <c r="E417" s="269"/>
      <c r="F417" s="269"/>
      <c r="G417" s="269"/>
      <c r="H417" s="269"/>
      <c r="I417" s="269"/>
      <c r="J417" s="269"/>
      <c r="K417" s="269"/>
      <c r="L417" s="269"/>
      <c r="M417" s="269"/>
    </row>
    <row r="418" spans="2:13">
      <c r="B418" s="269"/>
      <c r="C418" s="269"/>
      <c r="D418" s="269"/>
      <c r="E418" s="269"/>
      <c r="F418" s="269"/>
      <c r="G418" s="269"/>
      <c r="H418" s="269"/>
      <c r="I418" s="269"/>
      <c r="J418" s="269"/>
      <c r="K418" s="269"/>
      <c r="L418" s="269"/>
      <c r="M418" s="269"/>
    </row>
    <row r="419" spans="2:13">
      <c r="B419" s="269"/>
      <c r="C419" s="269"/>
      <c r="D419" s="269"/>
      <c r="E419" s="269"/>
      <c r="F419" s="269"/>
      <c r="G419" s="269"/>
      <c r="H419" s="269"/>
      <c r="I419" s="269"/>
      <c r="J419" s="269"/>
      <c r="K419" s="269"/>
      <c r="L419" s="269"/>
      <c r="M419" s="269"/>
    </row>
    <row r="420" spans="2:13">
      <c r="B420" s="269"/>
      <c r="C420" s="269"/>
      <c r="D420" s="269"/>
      <c r="E420" s="269"/>
      <c r="F420" s="269"/>
      <c r="G420" s="269"/>
      <c r="H420" s="269"/>
      <c r="I420" s="269"/>
      <c r="J420" s="269"/>
      <c r="K420" s="269"/>
      <c r="L420" s="269"/>
      <c r="M420" s="269"/>
    </row>
    <row r="421" spans="2:13">
      <c r="B421" s="269"/>
      <c r="C421" s="269"/>
      <c r="D421" s="269"/>
      <c r="E421" s="269"/>
      <c r="F421" s="269"/>
      <c r="G421" s="269"/>
      <c r="H421" s="269"/>
      <c r="I421" s="269"/>
      <c r="J421" s="269"/>
      <c r="K421" s="269"/>
      <c r="L421" s="269"/>
      <c r="M421" s="269"/>
    </row>
    <row r="422" spans="2:13">
      <c r="B422" s="269"/>
      <c r="C422" s="269"/>
      <c r="D422" s="269"/>
      <c r="E422" s="269"/>
      <c r="F422" s="269"/>
      <c r="G422" s="269"/>
      <c r="H422" s="269"/>
      <c r="I422" s="269"/>
      <c r="J422" s="269"/>
      <c r="K422" s="269"/>
      <c r="L422" s="269"/>
      <c r="M422" s="269"/>
    </row>
    <row r="423" spans="2:13">
      <c r="B423" s="269"/>
      <c r="C423" s="269"/>
      <c r="D423" s="269"/>
      <c r="E423" s="269"/>
      <c r="F423" s="269"/>
      <c r="G423" s="269"/>
      <c r="H423" s="269"/>
      <c r="I423" s="269"/>
      <c r="J423" s="269"/>
      <c r="K423" s="269"/>
      <c r="L423" s="269"/>
      <c r="M423" s="269"/>
    </row>
    <row r="424" spans="2:13">
      <c r="B424" s="269"/>
      <c r="C424" s="269"/>
      <c r="D424" s="269"/>
      <c r="E424" s="269"/>
      <c r="F424" s="269"/>
      <c r="G424" s="269"/>
      <c r="H424" s="269"/>
      <c r="I424" s="269"/>
      <c r="J424" s="269"/>
      <c r="K424" s="269"/>
      <c r="L424" s="269"/>
      <c r="M424" s="269"/>
    </row>
    <row r="425" spans="2:13">
      <c r="B425" s="269"/>
      <c r="C425" s="269"/>
      <c r="D425" s="269"/>
      <c r="E425" s="269"/>
      <c r="F425" s="269"/>
      <c r="G425" s="269"/>
      <c r="H425" s="269"/>
      <c r="I425" s="269"/>
      <c r="J425" s="269"/>
      <c r="K425" s="269"/>
      <c r="L425" s="269"/>
      <c r="M425" s="269"/>
    </row>
    <row r="426" spans="2:13">
      <c r="B426" s="269"/>
      <c r="C426" s="269"/>
      <c r="D426" s="269"/>
      <c r="E426" s="269"/>
      <c r="F426" s="269"/>
      <c r="G426" s="269"/>
      <c r="H426" s="269"/>
      <c r="I426" s="269"/>
      <c r="J426" s="269"/>
      <c r="K426" s="269"/>
      <c r="L426" s="269"/>
      <c r="M426" s="269"/>
    </row>
    <row r="427" spans="2:13">
      <c r="B427" s="269"/>
      <c r="C427" s="269"/>
      <c r="D427" s="269"/>
      <c r="E427" s="269"/>
      <c r="F427" s="269"/>
      <c r="G427" s="269"/>
      <c r="H427" s="269"/>
      <c r="I427" s="269"/>
      <c r="J427" s="269"/>
      <c r="K427" s="269"/>
      <c r="L427" s="269"/>
      <c r="M427" s="269"/>
    </row>
    <row r="428" spans="2:13">
      <c r="B428" s="269"/>
      <c r="C428" s="269"/>
      <c r="D428" s="269"/>
      <c r="E428" s="269"/>
      <c r="F428" s="269"/>
      <c r="G428" s="269"/>
      <c r="H428" s="269"/>
      <c r="I428" s="269"/>
      <c r="J428" s="269"/>
      <c r="K428" s="269"/>
      <c r="L428" s="269"/>
      <c r="M428" s="269"/>
    </row>
    <row r="429" spans="2:13">
      <c r="B429" s="269"/>
      <c r="C429" s="269"/>
      <c r="D429" s="269"/>
      <c r="E429" s="269"/>
      <c r="F429" s="269"/>
      <c r="G429" s="269"/>
      <c r="H429" s="269"/>
      <c r="I429" s="269"/>
      <c r="J429" s="269"/>
      <c r="K429" s="269"/>
      <c r="L429" s="269"/>
      <c r="M429" s="269"/>
    </row>
    <row r="430" spans="2:13">
      <c r="B430" s="269"/>
      <c r="C430" s="269"/>
      <c r="D430" s="269"/>
      <c r="E430" s="269"/>
      <c r="F430" s="269"/>
      <c r="G430" s="269"/>
      <c r="H430" s="269"/>
      <c r="I430" s="269"/>
      <c r="J430" s="269"/>
      <c r="K430" s="269"/>
      <c r="L430" s="269"/>
      <c r="M430" s="269"/>
    </row>
    <row r="431" spans="2:13">
      <c r="B431" s="269"/>
      <c r="C431" s="269"/>
      <c r="D431" s="269"/>
      <c r="E431" s="269"/>
      <c r="F431" s="269"/>
      <c r="G431" s="269"/>
      <c r="H431" s="269"/>
      <c r="I431" s="269"/>
      <c r="J431" s="269"/>
      <c r="K431" s="269"/>
      <c r="L431" s="269"/>
      <c r="M431" s="269"/>
    </row>
    <row r="432" spans="2:13">
      <c r="B432" s="269"/>
      <c r="C432" s="269"/>
      <c r="D432" s="269"/>
      <c r="E432" s="269"/>
      <c r="F432" s="269"/>
      <c r="G432" s="269"/>
      <c r="H432" s="269"/>
      <c r="I432" s="269"/>
      <c r="J432" s="269"/>
      <c r="K432" s="269"/>
      <c r="L432" s="269"/>
      <c r="M432" s="269"/>
    </row>
    <row r="433" spans="2:13">
      <c r="B433" s="269"/>
      <c r="C433" s="269"/>
      <c r="D433" s="269"/>
      <c r="E433" s="269"/>
      <c r="F433" s="269"/>
      <c r="G433" s="269"/>
      <c r="H433" s="269"/>
      <c r="I433" s="269"/>
      <c r="J433" s="269"/>
      <c r="K433" s="269"/>
      <c r="L433" s="269"/>
      <c r="M433" s="269"/>
    </row>
    <row r="434" spans="2:13">
      <c r="B434" s="269"/>
      <c r="C434" s="269"/>
      <c r="D434" s="269"/>
      <c r="E434" s="269"/>
      <c r="F434" s="269"/>
      <c r="G434" s="269"/>
      <c r="H434" s="269"/>
      <c r="I434" s="269"/>
      <c r="J434" s="269"/>
      <c r="K434" s="269"/>
      <c r="L434" s="269"/>
      <c r="M434" s="269"/>
    </row>
    <row r="435" spans="2:13">
      <c r="B435" s="269"/>
      <c r="C435" s="269"/>
      <c r="D435" s="269"/>
      <c r="E435" s="269"/>
      <c r="F435" s="269"/>
      <c r="G435" s="269"/>
      <c r="H435" s="269"/>
      <c r="I435" s="269"/>
      <c r="J435" s="269"/>
      <c r="K435" s="269"/>
      <c r="L435" s="269"/>
      <c r="M435" s="269"/>
    </row>
    <row r="436" spans="2:13">
      <c r="B436" s="269"/>
      <c r="C436" s="269"/>
      <c r="D436" s="269"/>
      <c r="E436" s="269"/>
      <c r="F436" s="269"/>
      <c r="G436" s="269"/>
      <c r="H436" s="269"/>
      <c r="I436" s="269"/>
      <c r="J436" s="269"/>
      <c r="K436" s="269"/>
      <c r="L436" s="269"/>
      <c r="M436" s="269"/>
    </row>
    <row r="437" spans="2:13">
      <c r="B437" s="269"/>
      <c r="C437" s="269"/>
      <c r="D437" s="269"/>
      <c r="E437" s="269"/>
      <c r="F437" s="269"/>
      <c r="G437" s="269"/>
      <c r="H437" s="269"/>
      <c r="I437" s="269"/>
      <c r="J437" s="269"/>
      <c r="K437" s="269"/>
      <c r="L437" s="269"/>
      <c r="M437" s="269"/>
    </row>
    <row r="438" spans="2:13">
      <c r="B438" s="269"/>
      <c r="C438" s="269"/>
      <c r="D438" s="269"/>
      <c r="E438" s="269"/>
      <c r="F438" s="269"/>
      <c r="G438" s="269"/>
      <c r="H438" s="269"/>
      <c r="I438" s="269"/>
      <c r="J438" s="269"/>
      <c r="K438" s="269"/>
      <c r="L438" s="269"/>
      <c r="M438" s="269"/>
    </row>
    <row r="439" spans="2:13">
      <c r="B439" s="269"/>
      <c r="C439" s="269"/>
      <c r="D439" s="269"/>
      <c r="E439" s="269"/>
      <c r="F439" s="269"/>
      <c r="G439" s="269"/>
      <c r="H439" s="269"/>
      <c r="I439" s="269"/>
      <c r="J439" s="269"/>
      <c r="K439" s="269"/>
      <c r="L439" s="269"/>
      <c r="M439" s="269"/>
    </row>
    <row r="440" spans="2:13">
      <c r="B440" s="269"/>
      <c r="C440" s="269"/>
      <c r="D440" s="269"/>
      <c r="E440" s="269"/>
      <c r="F440" s="269"/>
      <c r="G440" s="269"/>
      <c r="H440" s="269"/>
      <c r="I440" s="269"/>
      <c r="J440" s="269"/>
      <c r="K440" s="269"/>
      <c r="L440" s="269"/>
      <c r="M440" s="269"/>
    </row>
    <row r="441" spans="2:13">
      <c r="B441" s="269"/>
      <c r="C441" s="269"/>
      <c r="D441" s="269"/>
      <c r="E441" s="269"/>
      <c r="F441" s="269"/>
      <c r="G441" s="269"/>
      <c r="H441" s="269"/>
      <c r="I441" s="269"/>
      <c r="J441" s="269"/>
      <c r="K441" s="269"/>
      <c r="L441" s="269"/>
      <c r="M441" s="269"/>
    </row>
    <row r="442" spans="2:13">
      <c r="B442" s="269"/>
      <c r="C442" s="269"/>
      <c r="D442" s="269"/>
      <c r="E442" s="269"/>
      <c r="F442" s="269"/>
      <c r="G442" s="269"/>
      <c r="H442" s="269"/>
      <c r="I442" s="269"/>
      <c r="J442" s="269"/>
      <c r="K442" s="269"/>
      <c r="L442" s="269"/>
      <c r="M442" s="269"/>
    </row>
    <row r="443" spans="2:13">
      <c r="B443" s="269"/>
      <c r="C443" s="269"/>
      <c r="D443" s="269"/>
      <c r="E443" s="269"/>
      <c r="F443" s="269"/>
      <c r="G443" s="269"/>
      <c r="H443" s="269"/>
      <c r="I443" s="269"/>
      <c r="J443" s="269"/>
      <c r="K443" s="269"/>
      <c r="L443" s="269"/>
      <c r="M443" s="269"/>
    </row>
    <row r="444" spans="2:13">
      <c r="B444" s="269"/>
      <c r="C444" s="269"/>
      <c r="D444" s="269"/>
      <c r="E444" s="269"/>
      <c r="F444" s="269"/>
      <c r="G444" s="269"/>
      <c r="H444" s="269"/>
      <c r="I444" s="269"/>
      <c r="J444" s="269"/>
      <c r="K444" s="269"/>
      <c r="L444" s="269"/>
      <c r="M444" s="269"/>
    </row>
    <row r="445" spans="2:13">
      <c r="B445" s="269"/>
      <c r="C445" s="269"/>
      <c r="D445" s="269"/>
      <c r="E445" s="269"/>
      <c r="F445" s="269"/>
      <c r="G445" s="269"/>
      <c r="H445" s="269"/>
      <c r="I445" s="269"/>
      <c r="J445" s="269"/>
      <c r="K445" s="269"/>
      <c r="L445" s="269"/>
      <c r="M445" s="269"/>
    </row>
    <row r="446" spans="2:13">
      <c r="B446" s="269"/>
      <c r="C446" s="269"/>
      <c r="D446" s="269"/>
      <c r="E446" s="269"/>
      <c r="F446" s="269"/>
      <c r="G446" s="269"/>
      <c r="H446" s="269"/>
      <c r="I446" s="269"/>
      <c r="J446" s="269"/>
      <c r="K446" s="269"/>
      <c r="L446" s="269"/>
      <c r="M446" s="269"/>
    </row>
    <row r="447" spans="2:13">
      <c r="B447" s="269"/>
      <c r="C447" s="269"/>
      <c r="D447" s="269"/>
      <c r="E447" s="269"/>
      <c r="F447" s="269"/>
      <c r="G447" s="269"/>
      <c r="H447" s="269"/>
      <c r="I447" s="269"/>
      <c r="J447" s="269"/>
      <c r="K447" s="269"/>
      <c r="L447" s="269"/>
      <c r="M447" s="269"/>
    </row>
    <row r="448" spans="2:13">
      <c r="B448" s="269"/>
      <c r="C448" s="269"/>
      <c r="D448" s="269"/>
      <c r="E448" s="269"/>
      <c r="F448" s="269"/>
      <c r="G448" s="269"/>
      <c r="H448" s="269"/>
      <c r="I448" s="269"/>
      <c r="J448" s="269"/>
      <c r="K448" s="269"/>
      <c r="L448" s="269"/>
      <c r="M448" s="269"/>
    </row>
    <row r="449" spans="2:13">
      <c r="B449" s="269"/>
      <c r="C449" s="269"/>
      <c r="D449" s="269"/>
      <c r="E449" s="269"/>
      <c r="F449" s="269"/>
      <c r="G449" s="269"/>
      <c r="H449" s="269"/>
      <c r="I449" s="269"/>
      <c r="J449" s="269"/>
      <c r="K449" s="269"/>
      <c r="L449" s="269"/>
      <c r="M449" s="269"/>
    </row>
    <row r="450" spans="2:13">
      <c r="B450" s="269"/>
      <c r="C450" s="269"/>
      <c r="D450" s="269"/>
      <c r="E450" s="269"/>
      <c r="F450" s="269"/>
      <c r="G450" s="269"/>
      <c r="H450" s="269"/>
      <c r="I450" s="269"/>
      <c r="J450" s="269"/>
      <c r="K450" s="269"/>
      <c r="L450" s="269"/>
      <c r="M450" s="269"/>
    </row>
    <row r="451" spans="2:13">
      <c r="B451" s="269"/>
      <c r="C451" s="269"/>
      <c r="D451" s="269"/>
      <c r="E451" s="269"/>
      <c r="F451" s="269"/>
      <c r="G451" s="269"/>
      <c r="H451" s="269"/>
      <c r="I451" s="269"/>
      <c r="J451" s="269"/>
      <c r="K451" s="269"/>
      <c r="L451" s="269"/>
      <c r="M451" s="269"/>
    </row>
    <row r="452" spans="2:13">
      <c r="B452" s="269"/>
      <c r="C452" s="269"/>
      <c r="D452" s="269"/>
      <c r="E452" s="269"/>
      <c r="F452" s="269"/>
      <c r="G452" s="269"/>
      <c r="H452" s="269"/>
      <c r="I452" s="269"/>
      <c r="J452" s="269"/>
      <c r="K452" s="269"/>
      <c r="L452" s="269"/>
      <c r="M452" s="269"/>
    </row>
    <row r="453" spans="2:13">
      <c r="B453" s="269"/>
      <c r="C453" s="269"/>
      <c r="D453" s="269"/>
      <c r="E453" s="269"/>
      <c r="F453" s="269"/>
      <c r="G453" s="269"/>
      <c r="H453" s="269"/>
      <c r="I453" s="269"/>
      <c r="J453" s="269"/>
      <c r="K453" s="269"/>
      <c r="L453" s="269"/>
      <c r="M453" s="269"/>
    </row>
    <row r="454" spans="2:13">
      <c r="B454" s="269"/>
      <c r="C454" s="269"/>
      <c r="D454" s="269"/>
      <c r="E454" s="269"/>
      <c r="F454" s="269"/>
      <c r="G454" s="269"/>
      <c r="H454" s="269"/>
      <c r="I454" s="269"/>
      <c r="J454" s="269"/>
      <c r="K454" s="269"/>
      <c r="L454" s="269"/>
      <c r="M454" s="269"/>
    </row>
    <row r="455" spans="2:13">
      <c r="B455" s="269"/>
      <c r="C455" s="269"/>
      <c r="D455" s="269"/>
      <c r="E455" s="269"/>
      <c r="F455" s="269"/>
      <c r="G455" s="269"/>
      <c r="H455" s="269"/>
      <c r="I455" s="269"/>
      <c r="J455" s="269"/>
      <c r="K455" s="269"/>
      <c r="L455" s="269"/>
      <c r="M455" s="269"/>
    </row>
    <row r="456" spans="2:13">
      <c r="B456" s="269"/>
      <c r="C456" s="269"/>
      <c r="D456" s="269"/>
      <c r="E456" s="269"/>
      <c r="F456" s="269"/>
      <c r="G456" s="269"/>
      <c r="H456" s="269"/>
      <c r="I456" s="269"/>
      <c r="J456" s="269"/>
      <c r="K456" s="269"/>
      <c r="L456" s="269"/>
      <c r="M456" s="269"/>
    </row>
    <row r="457" spans="2:13">
      <c r="B457" s="269"/>
      <c r="C457" s="269"/>
      <c r="D457" s="269"/>
      <c r="E457" s="269"/>
      <c r="F457" s="269"/>
      <c r="G457" s="269"/>
      <c r="H457" s="269"/>
      <c r="I457" s="269"/>
      <c r="J457" s="269"/>
      <c r="K457" s="269"/>
      <c r="L457" s="269"/>
      <c r="M457" s="269"/>
    </row>
    <row r="458" spans="2:13">
      <c r="B458" s="269"/>
      <c r="C458" s="269"/>
      <c r="D458" s="269"/>
      <c r="E458" s="269"/>
      <c r="F458" s="269"/>
      <c r="G458" s="269"/>
      <c r="H458" s="269"/>
      <c r="I458" s="269"/>
      <c r="J458" s="269"/>
      <c r="K458" s="269"/>
      <c r="L458" s="269"/>
      <c r="M458" s="269"/>
    </row>
    <row r="459" spans="2:13">
      <c r="B459" s="269"/>
      <c r="C459" s="269"/>
      <c r="D459" s="269"/>
      <c r="E459" s="269"/>
      <c r="F459" s="269"/>
      <c r="G459" s="269"/>
      <c r="H459" s="269"/>
      <c r="I459" s="269"/>
      <c r="J459" s="269"/>
      <c r="K459" s="269"/>
      <c r="L459" s="269"/>
      <c r="M459" s="269"/>
    </row>
    <row r="460" spans="2:13">
      <c r="B460" s="269"/>
      <c r="C460" s="269"/>
      <c r="D460" s="269"/>
      <c r="E460" s="269"/>
      <c r="F460" s="269"/>
      <c r="G460" s="269"/>
      <c r="H460" s="269"/>
      <c r="I460" s="269"/>
      <c r="J460" s="269"/>
      <c r="K460" s="269"/>
      <c r="L460" s="269"/>
      <c r="M460" s="269"/>
    </row>
    <row r="461" spans="2:13">
      <c r="B461" s="269"/>
      <c r="C461" s="269"/>
      <c r="D461" s="269"/>
      <c r="E461" s="269"/>
      <c r="F461" s="269"/>
      <c r="G461" s="269"/>
      <c r="H461" s="269"/>
      <c r="I461" s="269"/>
      <c r="J461" s="269"/>
      <c r="K461" s="269"/>
      <c r="L461" s="269"/>
      <c r="M461" s="269"/>
    </row>
    <row r="462" spans="2:13">
      <c r="B462" s="269"/>
      <c r="C462" s="269"/>
      <c r="D462" s="269"/>
      <c r="E462" s="269"/>
      <c r="F462" s="269"/>
      <c r="G462" s="269"/>
      <c r="H462" s="269"/>
      <c r="I462" s="269"/>
      <c r="J462" s="269"/>
      <c r="K462" s="269"/>
      <c r="L462" s="269"/>
      <c r="M462" s="269"/>
    </row>
    <row r="463" spans="2:13">
      <c r="B463" s="269"/>
      <c r="C463" s="269"/>
      <c r="D463" s="269"/>
      <c r="E463" s="269"/>
      <c r="F463" s="269"/>
      <c r="G463" s="269"/>
      <c r="H463" s="269"/>
      <c r="I463" s="269"/>
      <c r="J463" s="269"/>
      <c r="K463" s="269"/>
      <c r="L463" s="269"/>
      <c r="M463" s="269"/>
    </row>
    <row r="464" spans="2:13">
      <c r="B464" s="269"/>
      <c r="C464" s="269"/>
      <c r="D464" s="269"/>
      <c r="E464" s="269"/>
      <c r="F464" s="269"/>
      <c r="G464" s="269"/>
      <c r="H464" s="269"/>
      <c r="I464" s="269"/>
      <c r="J464" s="269"/>
      <c r="K464" s="269"/>
      <c r="L464" s="269"/>
      <c r="M464" s="269"/>
    </row>
    <row r="465" spans="2:13">
      <c r="B465" s="269"/>
      <c r="C465" s="269"/>
      <c r="D465" s="269"/>
      <c r="E465" s="269"/>
      <c r="F465" s="269"/>
      <c r="G465" s="269"/>
      <c r="H465" s="269"/>
      <c r="I465" s="269"/>
      <c r="J465" s="269"/>
      <c r="K465" s="269"/>
      <c r="L465" s="269"/>
      <c r="M465" s="269"/>
    </row>
    <row r="466" spans="2:13">
      <c r="B466" s="269"/>
      <c r="C466" s="269"/>
      <c r="D466" s="269"/>
      <c r="E466" s="269"/>
      <c r="F466" s="269"/>
      <c r="G466" s="269"/>
      <c r="H466" s="269"/>
      <c r="I466" s="269"/>
      <c r="J466" s="269"/>
      <c r="K466" s="269"/>
      <c r="L466" s="269"/>
      <c r="M466" s="269"/>
    </row>
    <row r="467" spans="2:13">
      <c r="B467" s="269"/>
      <c r="C467" s="269"/>
      <c r="D467" s="269"/>
      <c r="E467" s="269"/>
      <c r="F467" s="269"/>
      <c r="G467" s="269"/>
      <c r="H467" s="269"/>
      <c r="I467" s="269"/>
      <c r="J467" s="269"/>
      <c r="K467" s="269"/>
      <c r="L467" s="269"/>
      <c r="M467" s="269"/>
    </row>
    <row r="468" spans="2:13">
      <c r="B468" s="269"/>
      <c r="C468" s="269"/>
      <c r="D468" s="269"/>
      <c r="E468" s="269"/>
      <c r="F468" s="269"/>
      <c r="G468" s="269"/>
      <c r="H468" s="269"/>
      <c r="I468" s="269"/>
      <c r="J468" s="269"/>
      <c r="K468" s="269"/>
      <c r="L468" s="269"/>
      <c r="M468" s="269"/>
    </row>
    <row r="469" spans="2:13">
      <c r="B469" s="269"/>
      <c r="C469" s="269"/>
      <c r="D469" s="269"/>
      <c r="E469" s="269"/>
      <c r="F469" s="269"/>
      <c r="G469" s="269"/>
      <c r="H469" s="269"/>
      <c r="I469" s="269"/>
      <c r="J469" s="269"/>
      <c r="K469" s="269"/>
      <c r="L469" s="269"/>
      <c r="M469" s="269"/>
    </row>
    <row r="470" spans="2:13">
      <c r="B470" s="269"/>
      <c r="C470" s="269"/>
      <c r="D470" s="269"/>
      <c r="E470" s="269"/>
      <c r="F470" s="269"/>
      <c r="G470" s="269"/>
      <c r="H470" s="269"/>
      <c r="I470" s="269"/>
      <c r="J470" s="269"/>
      <c r="K470" s="269"/>
      <c r="L470" s="269"/>
      <c r="M470" s="269"/>
    </row>
    <row r="471" spans="2:13">
      <c r="B471" s="269"/>
      <c r="C471" s="269"/>
      <c r="D471" s="269"/>
      <c r="E471" s="269"/>
      <c r="F471" s="269"/>
      <c r="G471" s="269"/>
      <c r="H471" s="269"/>
      <c r="I471" s="269"/>
      <c r="J471" s="269"/>
      <c r="K471" s="269"/>
      <c r="L471" s="269"/>
      <c r="M471" s="269"/>
    </row>
    <row r="472" spans="2:13">
      <c r="B472" s="269"/>
      <c r="C472" s="269"/>
      <c r="D472" s="269"/>
      <c r="E472" s="269"/>
      <c r="F472" s="269"/>
      <c r="G472" s="269"/>
      <c r="H472" s="269"/>
      <c r="I472" s="269"/>
      <c r="J472" s="269"/>
      <c r="K472" s="269"/>
      <c r="L472" s="269"/>
      <c r="M472" s="269"/>
    </row>
    <row r="473" spans="2:13">
      <c r="B473" s="269"/>
      <c r="C473" s="269"/>
      <c r="D473" s="269"/>
      <c r="E473" s="269"/>
      <c r="F473" s="269"/>
      <c r="G473" s="269"/>
      <c r="H473" s="269"/>
      <c r="I473" s="269"/>
      <c r="J473" s="269"/>
      <c r="K473" s="269"/>
      <c r="L473" s="269"/>
      <c r="M473" s="269"/>
    </row>
    <row r="474" spans="2:13">
      <c r="B474" s="269"/>
      <c r="C474" s="269"/>
      <c r="D474" s="269"/>
      <c r="E474" s="269"/>
      <c r="F474" s="269"/>
      <c r="G474" s="269"/>
      <c r="H474" s="269"/>
      <c r="I474" s="269"/>
      <c r="J474" s="269"/>
      <c r="K474" s="269"/>
      <c r="L474" s="269"/>
      <c r="M474" s="269"/>
    </row>
    <row r="475" spans="2:13">
      <c r="B475" s="269"/>
      <c r="C475" s="269"/>
      <c r="D475" s="269"/>
      <c r="E475" s="269"/>
      <c r="F475" s="269"/>
      <c r="G475" s="269"/>
      <c r="H475" s="269"/>
      <c r="I475" s="269"/>
      <c r="J475" s="269"/>
      <c r="K475" s="269"/>
      <c r="L475" s="269"/>
      <c r="M475" s="269"/>
    </row>
    <row r="476" spans="2:13">
      <c r="B476" s="269"/>
      <c r="C476" s="269"/>
      <c r="D476" s="269"/>
      <c r="E476" s="269"/>
      <c r="F476" s="269"/>
      <c r="G476" s="269"/>
      <c r="H476" s="269"/>
      <c r="I476" s="269"/>
      <c r="J476" s="269"/>
      <c r="K476" s="269"/>
      <c r="L476" s="269"/>
      <c r="M476" s="269"/>
    </row>
    <row r="477" spans="2:13">
      <c r="B477" s="269"/>
      <c r="C477" s="269"/>
      <c r="D477" s="269"/>
      <c r="E477" s="269"/>
      <c r="F477" s="269"/>
      <c r="G477" s="269"/>
      <c r="H477" s="269"/>
      <c r="I477" s="269"/>
      <c r="J477" s="269"/>
      <c r="K477" s="269"/>
      <c r="L477" s="269"/>
      <c r="M477" s="269"/>
    </row>
    <row r="478" spans="2:13">
      <c r="B478" s="269"/>
      <c r="C478" s="269"/>
      <c r="D478" s="269"/>
      <c r="E478" s="269"/>
      <c r="F478" s="269"/>
      <c r="G478" s="269"/>
      <c r="H478" s="269"/>
      <c r="I478" s="269"/>
      <c r="J478" s="269"/>
      <c r="K478" s="269"/>
      <c r="L478" s="269"/>
      <c r="M478" s="269"/>
    </row>
    <row r="479" spans="2:13">
      <c r="B479" s="269"/>
      <c r="C479" s="269"/>
      <c r="D479" s="269"/>
      <c r="E479" s="269"/>
      <c r="F479" s="269"/>
      <c r="G479" s="269"/>
      <c r="H479" s="269"/>
      <c r="I479" s="269"/>
      <c r="J479" s="269"/>
      <c r="K479" s="269"/>
      <c r="L479" s="269"/>
      <c r="M479" s="269"/>
    </row>
    <row r="480" spans="2:13">
      <c r="B480" s="269"/>
      <c r="C480" s="269"/>
      <c r="D480" s="269"/>
      <c r="E480" s="269"/>
      <c r="F480" s="269"/>
      <c r="G480" s="269"/>
      <c r="H480" s="269"/>
      <c r="I480" s="269"/>
      <c r="J480" s="269"/>
      <c r="K480" s="269"/>
      <c r="L480" s="269"/>
      <c r="M480" s="269"/>
    </row>
    <row r="481" spans="2:13">
      <c r="B481" s="269"/>
      <c r="C481" s="269"/>
      <c r="D481" s="269"/>
      <c r="E481" s="269"/>
      <c r="F481" s="269"/>
      <c r="G481" s="269"/>
      <c r="H481" s="269"/>
      <c r="I481" s="269"/>
      <c r="J481" s="269"/>
      <c r="K481" s="269"/>
      <c r="L481" s="269"/>
      <c r="M481" s="269"/>
    </row>
    <row r="482" spans="2:13">
      <c r="B482" s="269"/>
      <c r="C482" s="269"/>
      <c r="D482" s="269"/>
      <c r="E482" s="269"/>
      <c r="F482" s="269"/>
      <c r="G482" s="269"/>
      <c r="H482" s="269"/>
      <c r="I482" s="269"/>
      <c r="J482" s="269"/>
      <c r="K482" s="269"/>
      <c r="L482" s="269"/>
      <c r="M482" s="269"/>
    </row>
    <row r="483" spans="2:13">
      <c r="B483" s="269"/>
      <c r="C483" s="269"/>
      <c r="D483" s="269"/>
      <c r="E483" s="269"/>
      <c r="F483" s="269"/>
      <c r="G483" s="269"/>
      <c r="H483" s="269"/>
      <c r="I483" s="269"/>
      <c r="J483" s="269"/>
      <c r="K483" s="269"/>
      <c r="L483" s="269"/>
      <c r="M483" s="269"/>
    </row>
    <row r="484" spans="2:13">
      <c r="B484" s="269"/>
      <c r="C484" s="269"/>
      <c r="D484" s="269"/>
      <c r="E484" s="269"/>
      <c r="F484" s="269"/>
      <c r="G484" s="269"/>
      <c r="H484" s="269"/>
      <c r="I484" s="269"/>
      <c r="J484" s="269"/>
      <c r="K484" s="269"/>
      <c r="L484" s="269"/>
      <c r="M484" s="269"/>
    </row>
    <row r="485" spans="2:13">
      <c r="B485" s="269"/>
      <c r="C485" s="269"/>
      <c r="D485" s="269"/>
      <c r="E485" s="269"/>
      <c r="F485" s="269"/>
      <c r="G485" s="269"/>
      <c r="H485" s="269"/>
      <c r="I485" s="269"/>
      <c r="J485" s="269"/>
      <c r="K485" s="269"/>
      <c r="L485" s="269"/>
      <c r="M485" s="269"/>
    </row>
    <row r="486" spans="2:13">
      <c r="B486" s="269"/>
      <c r="C486" s="269"/>
      <c r="D486" s="269"/>
      <c r="E486" s="269"/>
      <c r="F486" s="269"/>
      <c r="G486" s="269"/>
      <c r="H486" s="269"/>
      <c r="I486" s="269"/>
      <c r="J486" s="269"/>
      <c r="K486" s="269"/>
      <c r="L486" s="269"/>
      <c r="M486" s="269"/>
    </row>
    <row r="487" spans="2:13">
      <c r="B487" s="269"/>
      <c r="C487" s="269"/>
      <c r="D487" s="269"/>
      <c r="E487" s="269"/>
      <c r="F487" s="269"/>
      <c r="G487" s="269"/>
      <c r="H487" s="269"/>
      <c r="I487" s="269"/>
      <c r="J487" s="269"/>
      <c r="K487" s="269"/>
      <c r="L487" s="269"/>
      <c r="M487" s="269"/>
    </row>
    <row r="488" spans="2:13">
      <c r="B488" s="269"/>
      <c r="C488" s="269"/>
      <c r="D488" s="269"/>
      <c r="E488" s="269"/>
      <c r="F488" s="269"/>
      <c r="G488" s="269"/>
      <c r="H488" s="269"/>
      <c r="I488" s="269"/>
      <c r="J488" s="269"/>
      <c r="K488" s="269"/>
      <c r="L488" s="269"/>
      <c r="M488" s="269"/>
    </row>
    <row r="489" spans="2:13">
      <c r="B489" s="269"/>
      <c r="C489" s="269"/>
      <c r="D489" s="269"/>
      <c r="E489" s="269"/>
      <c r="F489" s="269"/>
      <c r="G489" s="269"/>
      <c r="H489" s="269"/>
      <c r="I489" s="269"/>
      <c r="J489" s="269"/>
      <c r="K489" s="269"/>
      <c r="L489" s="269"/>
      <c r="M489" s="269"/>
    </row>
    <row r="490" spans="2:13">
      <c r="B490" s="269"/>
      <c r="C490" s="269"/>
      <c r="D490" s="269"/>
      <c r="E490" s="269"/>
      <c r="F490" s="269"/>
      <c r="G490" s="269"/>
      <c r="H490" s="269"/>
      <c r="I490" s="269"/>
      <c r="J490" s="269"/>
      <c r="K490" s="269"/>
      <c r="L490" s="269"/>
      <c r="M490" s="269"/>
    </row>
    <row r="491" spans="2:13">
      <c r="B491" s="269"/>
      <c r="C491" s="269"/>
      <c r="D491" s="269"/>
      <c r="E491" s="269"/>
      <c r="F491" s="269"/>
      <c r="G491" s="269"/>
      <c r="H491" s="269"/>
      <c r="I491" s="269"/>
      <c r="J491" s="269"/>
      <c r="K491" s="269"/>
      <c r="L491" s="269"/>
      <c r="M491" s="269"/>
    </row>
    <row r="492" spans="2:13">
      <c r="B492" s="269"/>
      <c r="C492" s="269"/>
      <c r="D492" s="269"/>
      <c r="E492" s="269"/>
      <c r="F492" s="269"/>
      <c r="G492" s="269"/>
      <c r="H492" s="269"/>
      <c r="I492" s="269"/>
      <c r="J492" s="269"/>
      <c r="K492" s="269"/>
      <c r="L492" s="269"/>
      <c r="M492" s="269"/>
    </row>
    <row r="493" spans="2:13">
      <c r="B493" s="269"/>
      <c r="C493" s="269"/>
      <c r="D493" s="269"/>
      <c r="E493" s="269"/>
      <c r="F493" s="269"/>
      <c r="G493" s="269"/>
      <c r="H493" s="269"/>
      <c r="I493" s="269"/>
      <c r="J493" s="269"/>
      <c r="K493" s="269"/>
      <c r="L493" s="269"/>
      <c r="M493" s="269"/>
    </row>
    <row r="494" spans="2:13">
      <c r="B494" s="269"/>
      <c r="C494" s="269"/>
      <c r="D494" s="269"/>
      <c r="E494" s="269"/>
      <c r="F494" s="269"/>
      <c r="G494" s="269"/>
      <c r="H494" s="269"/>
      <c r="I494" s="269"/>
      <c r="J494" s="269"/>
      <c r="K494" s="269"/>
      <c r="L494" s="269"/>
      <c r="M494" s="269"/>
    </row>
    <row r="495" spans="2:13">
      <c r="B495" s="269"/>
      <c r="C495" s="269"/>
      <c r="D495" s="269"/>
      <c r="E495" s="269"/>
      <c r="F495" s="269"/>
      <c r="G495" s="269"/>
      <c r="H495" s="269"/>
      <c r="I495" s="269"/>
      <c r="J495" s="269"/>
      <c r="K495" s="269"/>
      <c r="L495" s="269"/>
      <c r="M495" s="269"/>
    </row>
    <row r="496" spans="2:13">
      <c r="B496" s="269"/>
      <c r="C496" s="269"/>
      <c r="D496" s="269"/>
      <c r="E496" s="269"/>
      <c r="F496" s="269"/>
      <c r="G496" s="269"/>
      <c r="H496" s="269"/>
      <c r="I496" s="269"/>
      <c r="J496" s="269"/>
      <c r="K496" s="269"/>
      <c r="L496" s="269"/>
      <c r="M496" s="269"/>
    </row>
    <row r="497" spans="2:13">
      <c r="B497" s="269"/>
      <c r="C497" s="269"/>
      <c r="D497" s="269"/>
      <c r="E497" s="269"/>
      <c r="F497" s="269"/>
      <c r="G497" s="269"/>
      <c r="H497" s="269"/>
      <c r="I497" s="269"/>
      <c r="J497" s="269"/>
      <c r="K497" s="269"/>
      <c r="L497" s="269"/>
      <c r="M497" s="269"/>
    </row>
    <row r="498" spans="2:13">
      <c r="B498" s="269"/>
      <c r="C498" s="269"/>
      <c r="D498" s="269"/>
      <c r="E498" s="269"/>
      <c r="F498" s="269"/>
      <c r="G498" s="269"/>
      <c r="H498" s="269"/>
      <c r="I498" s="269"/>
      <c r="J498" s="269"/>
      <c r="K498" s="269"/>
      <c r="L498" s="269"/>
      <c r="M498" s="269"/>
    </row>
    <row r="499" spans="2:13">
      <c r="B499" s="269"/>
      <c r="C499" s="269"/>
      <c r="D499" s="269"/>
      <c r="E499" s="269"/>
      <c r="F499" s="269"/>
      <c r="G499" s="269"/>
      <c r="H499" s="269"/>
      <c r="I499" s="269"/>
      <c r="J499" s="269"/>
      <c r="K499" s="269"/>
      <c r="L499" s="269"/>
      <c r="M499" s="269"/>
    </row>
    <row r="500" spans="2:13">
      <c r="B500" s="269"/>
      <c r="C500" s="269"/>
      <c r="D500" s="269"/>
      <c r="E500" s="269"/>
      <c r="F500" s="269"/>
      <c r="G500" s="269"/>
      <c r="H500" s="269"/>
      <c r="I500" s="269"/>
      <c r="J500" s="269"/>
      <c r="K500" s="269"/>
      <c r="L500" s="269"/>
      <c r="M500" s="269"/>
    </row>
    <row r="501" spans="2:13">
      <c r="B501" s="269"/>
      <c r="C501" s="269"/>
      <c r="D501" s="269"/>
      <c r="E501" s="269"/>
      <c r="F501" s="269"/>
      <c r="G501" s="269"/>
      <c r="H501" s="269"/>
      <c r="I501" s="269"/>
      <c r="J501" s="269"/>
      <c r="K501" s="269"/>
      <c r="L501" s="269"/>
      <c r="M501" s="269"/>
    </row>
    <row r="502" spans="2:13">
      <c r="B502" s="269"/>
      <c r="C502" s="269"/>
      <c r="D502" s="269"/>
      <c r="E502" s="269"/>
      <c r="F502" s="269"/>
      <c r="G502" s="269"/>
      <c r="H502" s="269"/>
      <c r="I502" s="269"/>
      <c r="J502" s="269"/>
      <c r="K502" s="269"/>
      <c r="L502" s="269"/>
      <c r="M502" s="269"/>
    </row>
    <row r="503" spans="2:13">
      <c r="B503" s="269"/>
      <c r="C503" s="269"/>
      <c r="D503" s="269"/>
      <c r="E503" s="269"/>
      <c r="F503" s="269"/>
      <c r="G503" s="269"/>
      <c r="H503" s="269"/>
      <c r="I503" s="269"/>
      <c r="J503" s="269"/>
      <c r="K503" s="269"/>
      <c r="L503" s="269"/>
      <c r="M503" s="269"/>
    </row>
    <row r="504" spans="2:13">
      <c r="B504" s="269"/>
      <c r="C504" s="269"/>
      <c r="D504" s="269"/>
      <c r="E504" s="269"/>
      <c r="F504" s="269"/>
      <c r="G504" s="269"/>
      <c r="H504" s="269"/>
      <c r="I504" s="269"/>
      <c r="J504" s="269"/>
      <c r="K504" s="269"/>
      <c r="L504" s="269"/>
      <c r="M504" s="269"/>
    </row>
    <row r="505" spans="2:13">
      <c r="B505" s="269"/>
      <c r="C505" s="269"/>
      <c r="D505" s="269"/>
      <c r="E505" s="269"/>
      <c r="F505" s="269"/>
      <c r="G505" s="269"/>
      <c r="H505" s="269"/>
      <c r="I505" s="269"/>
      <c r="J505" s="269"/>
      <c r="K505" s="269"/>
      <c r="L505" s="269"/>
      <c r="M505" s="269"/>
    </row>
    <row r="506" spans="2:13">
      <c r="B506" s="269"/>
      <c r="C506" s="269"/>
      <c r="D506" s="269"/>
      <c r="E506" s="269"/>
      <c r="F506" s="269"/>
      <c r="G506" s="269"/>
      <c r="H506" s="269"/>
      <c r="I506" s="269"/>
      <c r="J506" s="269"/>
      <c r="K506" s="269"/>
      <c r="L506" s="269"/>
      <c r="M506" s="269"/>
    </row>
    <row r="507" spans="2:13">
      <c r="B507" s="269"/>
      <c r="C507" s="269"/>
      <c r="D507" s="269"/>
      <c r="E507" s="269"/>
      <c r="F507" s="269"/>
      <c r="G507" s="269"/>
      <c r="H507" s="269"/>
      <c r="I507" s="269"/>
      <c r="J507" s="269"/>
      <c r="K507" s="269"/>
      <c r="L507" s="269"/>
      <c r="M507" s="269"/>
    </row>
    <row r="508" spans="2:13">
      <c r="B508" s="269"/>
      <c r="C508" s="269"/>
      <c r="D508" s="269"/>
      <c r="E508" s="269"/>
      <c r="F508" s="269"/>
      <c r="G508" s="269"/>
      <c r="H508" s="269"/>
      <c r="I508" s="269"/>
      <c r="J508" s="269"/>
      <c r="K508" s="269"/>
      <c r="L508" s="269"/>
      <c r="M508" s="269"/>
    </row>
    <row r="509" spans="2:13">
      <c r="B509" s="269"/>
      <c r="C509" s="269"/>
      <c r="D509" s="269"/>
      <c r="E509" s="269"/>
      <c r="F509" s="269"/>
      <c r="G509" s="269"/>
      <c r="H509" s="269"/>
      <c r="I509" s="269"/>
      <c r="J509" s="269"/>
      <c r="K509" s="269"/>
      <c r="L509" s="269"/>
      <c r="M509" s="269"/>
    </row>
    <row r="510" spans="2:13">
      <c r="B510" s="269"/>
      <c r="C510" s="269"/>
      <c r="D510" s="269"/>
      <c r="E510" s="269"/>
      <c r="F510" s="269"/>
      <c r="G510" s="269"/>
      <c r="H510" s="269"/>
      <c r="I510" s="269"/>
      <c r="J510" s="269"/>
      <c r="K510" s="269"/>
      <c r="L510" s="269"/>
      <c r="M510" s="269"/>
    </row>
    <row r="511" spans="2:13">
      <c r="B511" s="269"/>
      <c r="C511" s="269"/>
      <c r="D511" s="269"/>
      <c r="E511" s="269"/>
      <c r="F511" s="269"/>
      <c r="G511" s="269"/>
      <c r="H511" s="269"/>
      <c r="I511" s="269"/>
      <c r="J511" s="269"/>
      <c r="K511" s="269"/>
      <c r="L511" s="269"/>
      <c r="M511" s="269"/>
    </row>
    <row r="512" spans="2:13">
      <c r="B512" s="269"/>
      <c r="C512" s="269"/>
      <c r="D512" s="269"/>
      <c r="E512" s="269"/>
      <c r="F512" s="269"/>
      <c r="G512" s="269"/>
      <c r="H512" s="269"/>
      <c r="I512" s="269"/>
      <c r="J512" s="269"/>
      <c r="K512" s="269"/>
      <c r="L512" s="269"/>
      <c r="M512" s="269"/>
    </row>
    <row r="513" spans="2:13">
      <c r="B513" s="269"/>
      <c r="C513" s="269"/>
      <c r="D513" s="269"/>
      <c r="E513" s="269"/>
      <c r="F513" s="269"/>
      <c r="G513" s="269"/>
      <c r="H513" s="269"/>
      <c r="I513" s="269"/>
      <c r="J513" s="269"/>
      <c r="K513" s="269"/>
      <c r="L513" s="269"/>
      <c r="M513" s="269"/>
    </row>
    <row r="514" spans="2:13">
      <c r="B514" s="269"/>
      <c r="C514" s="269"/>
      <c r="D514" s="269"/>
      <c r="E514" s="269"/>
      <c r="F514" s="269"/>
      <c r="G514" s="269"/>
      <c r="H514" s="269"/>
      <c r="I514" s="269"/>
      <c r="J514" s="269"/>
      <c r="K514" s="269"/>
      <c r="L514" s="269"/>
      <c r="M514" s="269"/>
    </row>
    <row r="515" spans="2:13">
      <c r="B515" s="269"/>
      <c r="C515" s="269"/>
      <c r="D515" s="269"/>
      <c r="E515" s="269"/>
      <c r="F515" s="269"/>
      <c r="G515" s="269"/>
      <c r="H515" s="269"/>
      <c r="I515" s="269"/>
      <c r="J515" s="269"/>
      <c r="K515" s="269"/>
      <c r="L515" s="269"/>
      <c r="M515" s="269"/>
    </row>
    <row r="516" spans="2:13">
      <c r="B516" s="269"/>
      <c r="C516" s="269"/>
      <c r="D516" s="269"/>
      <c r="E516" s="269"/>
      <c r="F516" s="269"/>
      <c r="G516" s="269"/>
      <c r="H516" s="269"/>
      <c r="I516" s="269"/>
      <c r="J516" s="269"/>
      <c r="K516" s="269"/>
      <c r="L516" s="269"/>
      <c r="M516" s="269"/>
    </row>
    <row r="517" spans="2:13">
      <c r="B517" s="269"/>
      <c r="C517" s="269"/>
      <c r="D517" s="269"/>
      <c r="E517" s="269"/>
      <c r="F517" s="269"/>
      <c r="G517" s="269"/>
      <c r="H517" s="269"/>
      <c r="I517" s="269"/>
      <c r="J517" s="269"/>
      <c r="K517" s="269"/>
      <c r="L517" s="269"/>
      <c r="M517" s="269"/>
    </row>
    <row r="518" spans="2:13">
      <c r="B518" s="269"/>
      <c r="C518" s="269"/>
      <c r="D518" s="269"/>
      <c r="E518" s="269"/>
      <c r="F518" s="269"/>
      <c r="G518" s="269"/>
      <c r="H518" s="269"/>
      <c r="I518" s="269"/>
      <c r="J518" s="269"/>
      <c r="K518" s="269"/>
      <c r="L518" s="269"/>
      <c r="M518" s="269"/>
    </row>
    <row r="519" spans="2:13">
      <c r="B519" s="269"/>
      <c r="C519" s="269"/>
      <c r="D519" s="269"/>
      <c r="E519" s="269"/>
      <c r="F519" s="269"/>
      <c r="G519" s="269"/>
      <c r="H519" s="269"/>
      <c r="I519" s="269"/>
      <c r="J519" s="269"/>
      <c r="K519" s="269"/>
      <c r="L519" s="269"/>
      <c r="M519" s="269"/>
    </row>
    <row r="520" spans="2:13">
      <c r="B520" s="269"/>
      <c r="C520" s="269"/>
      <c r="D520" s="269"/>
      <c r="E520" s="269"/>
      <c r="F520" s="269"/>
      <c r="G520" s="269"/>
      <c r="H520" s="269"/>
      <c r="I520" s="269"/>
      <c r="J520" s="269"/>
      <c r="K520" s="269"/>
      <c r="L520" s="269"/>
      <c r="M520" s="269"/>
    </row>
    <row r="521" spans="2:13">
      <c r="B521" s="269"/>
      <c r="C521" s="269"/>
      <c r="D521" s="269"/>
      <c r="E521" s="269"/>
      <c r="F521" s="269"/>
      <c r="G521" s="269"/>
      <c r="H521" s="269"/>
      <c r="I521" s="269"/>
      <c r="J521" s="269"/>
      <c r="K521" s="269"/>
      <c r="L521" s="269"/>
      <c r="M521" s="269"/>
    </row>
    <row r="522" spans="2:13">
      <c r="B522" s="269"/>
      <c r="C522" s="269"/>
      <c r="D522" s="269"/>
      <c r="E522" s="269"/>
      <c r="F522" s="269"/>
      <c r="G522" s="269"/>
      <c r="H522" s="269"/>
      <c r="I522" s="269"/>
      <c r="J522" s="269"/>
      <c r="K522" s="269"/>
      <c r="L522" s="269"/>
      <c r="M522" s="269"/>
    </row>
    <row r="523" spans="2:13">
      <c r="B523" s="269"/>
      <c r="C523" s="269"/>
      <c r="D523" s="269"/>
      <c r="E523" s="269"/>
      <c r="F523" s="269"/>
      <c r="G523" s="269"/>
      <c r="H523" s="269"/>
      <c r="I523" s="269"/>
      <c r="J523" s="269"/>
      <c r="K523" s="269"/>
      <c r="L523" s="269"/>
      <c r="M523" s="269"/>
    </row>
    <row r="524" spans="2:13">
      <c r="B524" s="269"/>
      <c r="C524" s="269"/>
      <c r="D524" s="269"/>
      <c r="E524" s="269"/>
      <c r="F524" s="269"/>
      <c r="G524" s="269"/>
      <c r="H524" s="269"/>
      <c r="I524" s="269"/>
      <c r="J524" s="269"/>
      <c r="K524" s="269"/>
      <c r="L524" s="269"/>
      <c r="M524" s="269"/>
    </row>
    <row r="525" spans="2:13">
      <c r="B525" s="269"/>
      <c r="C525" s="269"/>
      <c r="D525" s="269"/>
      <c r="E525" s="269"/>
      <c r="F525" s="269"/>
      <c r="G525" s="269"/>
      <c r="H525" s="269"/>
      <c r="I525" s="269"/>
      <c r="J525" s="269"/>
      <c r="K525" s="269"/>
      <c r="L525" s="269"/>
      <c r="M525" s="269"/>
    </row>
    <row r="526" spans="2:13">
      <c r="B526" s="269"/>
      <c r="C526" s="269"/>
      <c r="D526" s="269"/>
      <c r="E526" s="269"/>
      <c r="F526" s="269"/>
      <c r="G526" s="269"/>
      <c r="H526" s="269"/>
      <c r="I526" s="269"/>
      <c r="J526" s="269"/>
      <c r="K526" s="269"/>
      <c r="L526" s="269"/>
      <c r="M526" s="269"/>
    </row>
    <row r="527" spans="2:13">
      <c r="B527" s="269"/>
      <c r="C527" s="269"/>
      <c r="D527" s="269"/>
      <c r="E527" s="269"/>
      <c r="F527" s="269"/>
      <c r="G527" s="269"/>
      <c r="H527" s="269"/>
      <c r="I527" s="269"/>
      <c r="J527" s="269"/>
      <c r="K527" s="269"/>
      <c r="L527" s="269"/>
      <c r="M527" s="269"/>
    </row>
    <row r="528" spans="2:13">
      <c r="B528" s="269"/>
      <c r="C528" s="269"/>
      <c r="D528" s="269"/>
      <c r="E528" s="269"/>
      <c r="F528" s="269"/>
      <c r="G528" s="269"/>
      <c r="H528" s="269"/>
      <c r="I528" s="269"/>
      <c r="J528" s="269"/>
      <c r="K528" s="269"/>
      <c r="L528" s="269"/>
      <c r="M528" s="269"/>
    </row>
    <row r="529" spans="2:13">
      <c r="B529" s="269"/>
      <c r="C529" s="269"/>
      <c r="D529" s="269"/>
      <c r="E529" s="269"/>
      <c r="F529" s="269"/>
      <c r="G529" s="269"/>
      <c r="H529" s="269"/>
      <c r="I529" s="269"/>
      <c r="J529" s="269"/>
      <c r="K529" s="269"/>
      <c r="L529" s="269"/>
      <c r="M529" s="269"/>
    </row>
    <row r="530" spans="2:13">
      <c r="B530" s="269"/>
      <c r="C530" s="269"/>
      <c r="D530" s="269"/>
      <c r="E530" s="269"/>
      <c r="F530" s="269"/>
      <c r="G530" s="269"/>
      <c r="H530" s="269"/>
      <c r="I530" s="269"/>
      <c r="J530" s="269"/>
      <c r="K530" s="269"/>
      <c r="L530" s="269"/>
      <c r="M530" s="269"/>
    </row>
    <row r="531" spans="2:13">
      <c r="B531" s="269"/>
      <c r="C531" s="269"/>
      <c r="D531" s="269"/>
      <c r="E531" s="269"/>
      <c r="F531" s="269"/>
      <c r="G531" s="269"/>
      <c r="H531" s="269"/>
      <c r="I531" s="269"/>
      <c r="J531" s="269"/>
      <c r="K531" s="269"/>
      <c r="L531" s="269"/>
      <c r="M531" s="269"/>
    </row>
    <row r="532" spans="2:13">
      <c r="B532" s="269"/>
      <c r="C532" s="269"/>
      <c r="D532" s="269"/>
      <c r="E532" s="269"/>
      <c r="F532" s="269"/>
      <c r="G532" s="269"/>
      <c r="H532" s="269"/>
      <c r="I532" s="269"/>
      <c r="J532" s="269"/>
      <c r="K532" s="269"/>
      <c r="L532" s="269"/>
      <c r="M532" s="269"/>
    </row>
    <row r="533" spans="2:13">
      <c r="B533" s="269"/>
      <c r="C533" s="269"/>
      <c r="D533" s="269"/>
      <c r="E533" s="269"/>
      <c r="F533" s="269"/>
      <c r="G533" s="269"/>
      <c r="H533" s="269"/>
      <c r="I533" s="269"/>
      <c r="J533" s="269"/>
      <c r="K533" s="269"/>
      <c r="L533" s="269"/>
      <c r="M533" s="269"/>
    </row>
    <row r="534" spans="2:13">
      <c r="B534" s="269"/>
      <c r="C534" s="269"/>
      <c r="D534" s="269"/>
      <c r="E534" s="269"/>
      <c r="F534" s="269"/>
      <c r="G534" s="269"/>
      <c r="H534" s="269"/>
      <c r="I534" s="269"/>
      <c r="J534" s="269"/>
      <c r="K534" s="269"/>
      <c r="L534" s="269"/>
      <c r="M534" s="269"/>
    </row>
    <row r="535" spans="2:13">
      <c r="B535" s="269"/>
      <c r="C535" s="269"/>
      <c r="D535" s="269"/>
      <c r="E535" s="269"/>
      <c r="F535" s="269"/>
      <c r="G535" s="269"/>
      <c r="H535" s="269"/>
      <c r="I535" s="269"/>
      <c r="J535" s="269"/>
      <c r="K535" s="269"/>
      <c r="L535" s="269"/>
      <c r="M535" s="269"/>
    </row>
    <row r="536" spans="2:13">
      <c r="B536" s="269"/>
      <c r="C536" s="269"/>
      <c r="D536" s="269"/>
      <c r="E536" s="269"/>
      <c r="F536" s="269"/>
      <c r="G536" s="269"/>
      <c r="H536" s="269"/>
      <c r="I536" s="269"/>
      <c r="J536" s="269"/>
      <c r="K536" s="269"/>
      <c r="L536" s="269"/>
      <c r="M536" s="269"/>
    </row>
    <row r="537" spans="2:13">
      <c r="B537" s="269"/>
      <c r="C537" s="269"/>
      <c r="D537" s="269"/>
      <c r="E537" s="269"/>
      <c r="F537" s="269"/>
      <c r="G537" s="269"/>
      <c r="H537" s="269"/>
      <c r="I537" s="269"/>
      <c r="J537" s="269"/>
      <c r="K537" s="269"/>
      <c r="L537" s="269"/>
      <c r="M537" s="269"/>
    </row>
    <row r="538" spans="2:13">
      <c r="B538" s="269"/>
      <c r="C538" s="269"/>
      <c r="D538" s="269"/>
      <c r="E538" s="269"/>
      <c r="F538" s="269"/>
      <c r="G538" s="269"/>
      <c r="H538" s="269"/>
      <c r="I538" s="269"/>
      <c r="J538" s="269"/>
      <c r="K538" s="269"/>
      <c r="L538" s="269"/>
      <c r="M538" s="269"/>
    </row>
    <row r="539" spans="2:13">
      <c r="B539" s="269"/>
      <c r="C539" s="269"/>
      <c r="D539" s="269"/>
      <c r="E539" s="269"/>
      <c r="F539" s="269"/>
      <c r="G539" s="269"/>
      <c r="H539" s="269"/>
      <c r="I539" s="269"/>
      <c r="J539" s="269"/>
      <c r="K539" s="269"/>
      <c r="L539" s="269"/>
      <c r="M539" s="269"/>
    </row>
    <row r="540" spans="2:13">
      <c r="B540" s="269"/>
      <c r="C540" s="269"/>
      <c r="D540" s="269"/>
      <c r="E540" s="269"/>
      <c r="F540" s="269"/>
      <c r="G540" s="269"/>
      <c r="H540" s="269"/>
      <c r="I540" s="269"/>
      <c r="J540" s="269"/>
      <c r="K540" s="269"/>
      <c r="L540" s="269"/>
      <c r="M540" s="269"/>
    </row>
    <row r="541" spans="2:13">
      <c r="B541" s="269"/>
      <c r="C541" s="269"/>
      <c r="D541" s="269"/>
      <c r="E541" s="269"/>
      <c r="F541" s="269"/>
      <c r="G541" s="269"/>
      <c r="H541" s="269"/>
      <c r="I541" s="269"/>
      <c r="J541" s="269"/>
      <c r="K541" s="269"/>
      <c r="L541" s="269"/>
      <c r="M541" s="269"/>
    </row>
    <row r="542" spans="2:13">
      <c r="B542" s="269"/>
      <c r="C542" s="269"/>
      <c r="D542" s="269"/>
      <c r="E542" s="269"/>
      <c r="F542" s="269"/>
      <c r="G542" s="269"/>
      <c r="H542" s="269"/>
      <c r="I542" s="269"/>
      <c r="J542" s="269"/>
      <c r="K542" s="269"/>
      <c r="L542" s="269"/>
      <c r="M542" s="269"/>
    </row>
    <row r="543" spans="2:13">
      <c r="B543" s="269"/>
      <c r="C543" s="269"/>
      <c r="D543" s="269"/>
      <c r="E543" s="269"/>
      <c r="F543" s="269"/>
      <c r="G543" s="269"/>
      <c r="H543" s="269"/>
      <c r="I543" s="269"/>
      <c r="J543" s="269"/>
      <c r="K543" s="269"/>
      <c r="L543" s="269"/>
      <c r="M543" s="269"/>
    </row>
    <row r="544" spans="2:13">
      <c r="B544" s="269"/>
      <c r="C544" s="269"/>
      <c r="D544" s="269"/>
      <c r="E544" s="269"/>
      <c r="F544" s="269"/>
      <c r="G544" s="269"/>
      <c r="H544" s="269"/>
      <c r="I544" s="269"/>
      <c r="J544" s="269"/>
      <c r="K544" s="269"/>
      <c r="L544" s="269"/>
      <c r="M544" s="269"/>
    </row>
    <row r="545" spans="2:13">
      <c r="B545" s="269"/>
      <c r="C545" s="269"/>
      <c r="D545" s="269"/>
      <c r="E545" s="269"/>
      <c r="F545" s="269"/>
      <c r="G545" s="269"/>
      <c r="H545" s="269"/>
      <c r="I545" s="269"/>
      <c r="J545" s="269"/>
      <c r="K545" s="269"/>
      <c r="L545" s="269"/>
      <c r="M545" s="269"/>
    </row>
    <row r="546" spans="2:13">
      <c r="B546" s="269"/>
      <c r="C546" s="269"/>
      <c r="D546" s="269"/>
      <c r="E546" s="269"/>
      <c r="F546" s="269"/>
      <c r="G546" s="269"/>
      <c r="H546" s="269"/>
      <c r="I546" s="269"/>
      <c r="J546" s="269"/>
      <c r="K546" s="269"/>
      <c r="L546" s="269"/>
      <c r="M546" s="269"/>
    </row>
    <row r="547" spans="2:13">
      <c r="B547" s="269"/>
      <c r="C547" s="269"/>
      <c r="D547" s="269"/>
      <c r="E547" s="269"/>
      <c r="F547" s="269"/>
      <c r="G547" s="269"/>
      <c r="H547" s="269"/>
      <c r="I547" s="269"/>
      <c r="J547" s="269"/>
      <c r="K547" s="269"/>
      <c r="L547" s="269"/>
      <c r="M547" s="269"/>
    </row>
    <row r="548" spans="2:13">
      <c r="B548" s="269"/>
      <c r="C548" s="269"/>
      <c r="D548" s="269"/>
      <c r="E548" s="269"/>
      <c r="F548" s="269"/>
      <c r="G548" s="269"/>
      <c r="H548" s="269"/>
      <c r="I548" s="269"/>
      <c r="J548" s="269"/>
      <c r="K548" s="269"/>
      <c r="L548" s="269"/>
      <c r="M548" s="269"/>
    </row>
    <row r="549" spans="2:13">
      <c r="B549" s="269"/>
      <c r="C549" s="269"/>
      <c r="D549" s="269"/>
      <c r="E549" s="269"/>
      <c r="F549" s="269"/>
      <c r="G549" s="269"/>
      <c r="H549" s="269"/>
      <c r="I549" s="269"/>
      <c r="J549" s="269"/>
      <c r="K549" s="269"/>
      <c r="L549" s="269"/>
      <c r="M549" s="269"/>
    </row>
    <row r="550" spans="2:13">
      <c r="B550" s="269"/>
      <c r="C550" s="269"/>
      <c r="D550" s="269"/>
      <c r="E550" s="269"/>
      <c r="F550" s="269"/>
      <c r="G550" s="269"/>
      <c r="H550" s="269"/>
      <c r="I550" s="269"/>
      <c r="J550" s="269"/>
      <c r="K550" s="269"/>
      <c r="L550" s="269"/>
      <c r="M550" s="269"/>
    </row>
    <row r="551" spans="2:13">
      <c r="B551" s="269"/>
      <c r="C551" s="269"/>
      <c r="D551" s="269"/>
      <c r="E551" s="269"/>
      <c r="F551" s="269"/>
      <c r="G551" s="269"/>
      <c r="H551" s="269"/>
      <c r="I551" s="269"/>
      <c r="J551" s="269"/>
      <c r="K551" s="269"/>
      <c r="L551" s="269"/>
      <c r="M551" s="269"/>
    </row>
    <row r="552" spans="2:13">
      <c r="B552" s="269"/>
      <c r="C552" s="269"/>
      <c r="D552" s="269"/>
      <c r="E552" s="269"/>
      <c r="F552" s="269"/>
      <c r="G552" s="269"/>
      <c r="H552" s="269"/>
      <c r="I552" s="269"/>
      <c r="J552" s="269"/>
      <c r="K552" s="269"/>
      <c r="L552" s="269"/>
      <c r="M552" s="269"/>
    </row>
    <row r="553" spans="2:13">
      <c r="B553" s="269"/>
      <c r="C553" s="269"/>
      <c r="D553" s="269"/>
      <c r="E553" s="269"/>
      <c r="F553" s="269"/>
      <c r="G553" s="269"/>
      <c r="H553" s="269"/>
      <c r="I553" s="269"/>
      <c r="J553" s="269"/>
      <c r="K553" s="269"/>
      <c r="L553" s="269"/>
      <c r="M553" s="269"/>
    </row>
    <row r="554" spans="2:13">
      <c r="B554" s="269"/>
      <c r="C554" s="269"/>
      <c r="D554" s="269"/>
      <c r="E554" s="269"/>
      <c r="F554" s="269"/>
      <c r="G554" s="269"/>
      <c r="H554" s="269"/>
      <c r="I554" s="269"/>
      <c r="J554" s="269"/>
      <c r="K554" s="269"/>
      <c r="L554" s="269"/>
      <c r="M554" s="269"/>
    </row>
    <row r="555" spans="2:13">
      <c r="B555" s="269"/>
      <c r="C555" s="269"/>
      <c r="D555" s="269"/>
      <c r="E555" s="269"/>
      <c r="F555" s="269"/>
      <c r="G555" s="269"/>
      <c r="H555" s="269"/>
      <c r="I555" s="269"/>
      <c r="J555" s="269"/>
      <c r="K555" s="269"/>
      <c r="L555" s="269"/>
      <c r="M555" s="269"/>
    </row>
    <row r="556" spans="2:13">
      <c r="B556" s="269"/>
      <c r="C556" s="269"/>
      <c r="D556" s="269"/>
      <c r="E556" s="269"/>
      <c r="F556" s="269"/>
      <c r="G556" s="269"/>
      <c r="H556" s="269"/>
      <c r="I556" s="269"/>
      <c r="J556" s="269"/>
      <c r="K556" s="269"/>
      <c r="L556" s="269"/>
      <c r="M556" s="269"/>
    </row>
    <row r="557" spans="2:13">
      <c r="B557" s="269"/>
      <c r="C557" s="269"/>
      <c r="D557" s="269"/>
      <c r="E557" s="269"/>
      <c r="F557" s="269"/>
      <c r="G557" s="269"/>
      <c r="H557" s="269"/>
      <c r="I557" s="269"/>
      <c r="J557" s="269"/>
      <c r="K557" s="269"/>
      <c r="L557" s="269"/>
      <c r="M557" s="269"/>
    </row>
    <row r="558" spans="2:13">
      <c r="B558" s="269"/>
      <c r="C558" s="269"/>
      <c r="D558" s="269"/>
      <c r="E558" s="269"/>
      <c r="F558" s="269"/>
      <c r="G558" s="269"/>
      <c r="H558" s="269"/>
      <c r="I558" s="269"/>
      <c r="J558" s="269"/>
      <c r="K558" s="269"/>
      <c r="L558" s="269"/>
      <c r="M558" s="269"/>
    </row>
    <row r="559" spans="2:13">
      <c r="B559" s="269"/>
      <c r="C559" s="269"/>
      <c r="D559" s="269"/>
      <c r="E559" s="269"/>
      <c r="F559" s="269"/>
      <c r="G559" s="269"/>
      <c r="H559" s="269"/>
      <c r="I559" s="269"/>
      <c r="J559" s="269"/>
      <c r="K559" s="269"/>
      <c r="L559" s="269"/>
      <c r="M559" s="269"/>
    </row>
    <row r="560" spans="2:13">
      <c r="B560" s="269"/>
      <c r="C560" s="269"/>
      <c r="D560" s="269"/>
      <c r="E560" s="269"/>
      <c r="F560" s="269"/>
      <c r="G560" s="269"/>
      <c r="H560" s="269"/>
      <c r="I560" s="269"/>
      <c r="J560" s="269"/>
      <c r="K560" s="269"/>
      <c r="L560" s="269"/>
      <c r="M560" s="269"/>
    </row>
    <row r="561" spans="2:13">
      <c r="B561" s="269"/>
      <c r="C561" s="269"/>
      <c r="D561" s="269"/>
      <c r="E561" s="269"/>
      <c r="F561" s="269"/>
      <c r="G561" s="269"/>
      <c r="H561" s="269"/>
      <c r="I561" s="269"/>
      <c r="J561" s="269"/>
      <c r="K561" s="269"/>
      <c r="L561" s="269"/>
      <c r="M561" s="269"/>
    </row>
    <row r="562" spans="2:13">
      <c r="B562" s="269"/>
      <c r="C562" s="269"/>
      <c r="D562" s="269"/>
      <c r="E562" s="269"/>
      <c r="F562" s="269"/>
      <c r="G562" s="269"/>
      <c r="H562" s="269"/>
      <c r="I562" s="269"/>
      <c r="J562" s="269"/>
      <c r="K562" s="269"/>
      <c r="L562" s="269"/>
      <c r="M562" s="269"/>
    </row>
    <row r="563" spans="2:13">
      <c r="B563" s="269"/>
      <c r="C563" s="269"/>
      <c r="D563" s="269"/>
      <c r="E563" s="269"/>
      <c r="F563" s="269"/>
      <c r="G563" s="269"/>
      <c r="H563" s="269"/>
      <c r="I563" s="269"/>
      <c r="J563" s="269"/>
      <c r="K563" s="269"/>
      <c r="L563" s="269"/>
      <c r="M563" s="269"/>
    </row>
    <row r="564" spans="2:13">
      <c r="B564" s="269"/>
      <c r="C564" s="269"/>
      <c r="D564" s="269"/>
      <c r="E564" s="269"/>
      <c r="F564" s="269"/>
      <c r="G564" s="269"/>
      <c r="H564" s="269"/>
      <c r="I564" s="269"/>
      <c r="J564" s="269"/>
      <c r="K564" s="269"/>
      <c r="L564" s="269"/>
      <c r="M564" s="269"/>
    </row>
    <row r="565" spans="2:13">
      <c r="B565" s="269"/>
      <c r="C565" s="269"/>
      <c r="D565" s="269"/>
      <c r="E565" s="269"/>
      <c r="F565" s="269"/>
      <c r="G565" s="269"/>
      <c r="H565" s="269"/>
      <c r="I565" s="269"/>
      <c r="J565" s="269"/>
      <c r="K565" s="269"/>
      <c r="L565" s="269"/>
      <c r="M565" s="269"/>
    </row>
    <row r="566" spans="2:13">
      <c r="B566" s="269"/>
      <c r="C566" s="269"/>
      <c r="D566" s="269"/>
      <c r="E566" s="269"/>
      <c r="F566" s="269"/>
      <c r="G566" s="269"/>
      <c r="H566" s="269"/>
      <c r="I566" s="269"/>
      <c r="J566" s="269"/>
      <c r="K566" s="269"/>
      <c r="L566" s="269"/>
      <c r="M566" s="269"/>
    </row>
    <row r="567" spans="2:13">
      <c r="B567" s="269"/>
      <c r="C567" s="269"/>
      <c r="D567" s="269"/>
      <c r="E567" s="269"/>
      <c r="F567" s="269"/>
      <c r="G567" s="269"/>
      <c r="H567" s="269"/>
      <c r="I567" s="269"/>
      <c r="J567" s="269"/>
      <c r="K567" s="269"/>
      <c r="L567" s="269"/>
      <c r="M567" s="269"/>
    </row>
  </sheetData>
  <sheetProtection algorithmName="SHA-512" hashValue="wLiZlBfe0ttgk7uGo+n0uLhlvGgZOy2yMy/3Egs4ka7UezLQJS+TYqhDqCVwwQfTdvZhRhiMORr+pPE81QouDQ==" saltValue="01yb/+I2lOYdVkDQ1sUiYQ==" spinCount="100000" sheet="1" objects="1" scenarios="1"/>
  <mergeCells count="33">
    <mergeCell ref="M35:M37"/>
    <mergeCell ref="M38:M41"/>
    <mergeCell ref="J21:J22"/>
    <mergeCell ref="K31:K32"/>
    <mergeCell ref="B3:L3"/>
    <mergeCell ref="J9:J10"/>
    <mergeCell ref="J11:J12"/>
    <mergeCell ref="D32:D33"/>
    <mergeCell ref="C32:C33"/>
    <mergeCell ref="L31:L32"/>
    <mergeCell ref="B5:D5"/>
    <mergeCell ref="F5:H5"/>
    <mergeCell ref="J15:L15"/>
    <mergeCell ref="J5:L5"/>
    <mergeCell ref="F25:H25"/>
    <mergeCell ref="G31:G32"/>
    <mergeCell ref="J19:J20"/>
    <mergeCell ref="B25:D25"/>
    <mergeCell ref="J25:L25"/>
    <mergeCell ref="I38:I39"/>
    <mergeCell ref="I35:I37"/>
    <mergeCell ref="H31:H32"/>
    <mergeCell ref="H38:H39"/>
    <mergeCell ref="E39:E41"/>
    <mergeCell ref="B39:B41"/>
    <mergeCell ref="E36:E38"/>
    <mergeCell ref="B36:B38"/>
    <mergeCell ref="B46:D46"/>
    <mergeCell ref="M56:M58"/>
    <mergeCell ref="E56:E58"/>
    <mergeCell ref="I56:I58"/>
    <mergeCell ref="F46:H46"/>
    <mergeCell ref="J46:L46"/>
  </mergeCells>
  <pageMargins left="0.7" right="0.7" top="0.78740157499999996" bottom="0.78740157499999996" header="0.3" footer="0.3"/>
  <pageSetup paperSize="9" scale="59" fitToHeight="0" orientation="landscape" verticalDpi="597" r:id="rId1"/>
  <rowBreaks count="1" manualBreakCount="1">
    <brk id="44" max="1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tabColor indexed="11"/>
    <pageSetUpPr fitToPage="1"/>
  </sheetPr>
  <dimension ref="A1:DP135"/>
  <sheetViews>
    <sheetView showGridLines="0" zoomScaleNormal="100" workbookViewId="0">
      <selection activeCell="C13" sqref="C13"/>
    </sheetView>
  </sheetViews>
  <sheetFormatPr baseColWidth="10" defaultRowHeight="13.2"/>
  <cols>
    <col min="1" max="1" width="17.88671875" customWidth="1"/>
    <col min="2" max="2" width="48" customWidth="1"/>
    <col min="3" max="3" width="17.88671875" customWidth="1"/>
    <col min="4" max="4" width="29.5546875" customWidth="1"/>
    <col min="5" max="5" width="25.5546875" customWidth="1"/>
    <col min="7" max="120" width="11.44140625" style="149"/>
  </cols>
  <sheetData>
    <row r="1" spans="1:6" ht="105" customHeight="1" thickBot="1">
      <c r="A1" s="412" t="s">
        <v>480</v>
      </c>
      <c r="B1" s="412"/>
      <c r="C1" s="412"/>
      <c r="D1" s="273"/>
      <c r="E1" s="273"/>
      <c r="F1" s="274"/>
    </row>
    <row r="2" spans="1:6" ht="29.25" customHeight="1" thickBot="1">
      <c r="A2" s="275" t="s">
        <v>81</v>
      </c>
      <c r="B2" s="276"/>
      <c r="C2" s="275" t="s">
        <v>88</v>
      </c>
      <c r="D2" s="16"/>
      <c r="E2" s="16"/>
      <c r="F2" s="149"/>
    </row>
    <row r="3" spans="1:6" ht="47.25" customHeight="1">
      <c r="A3" s="284" t="s">
        <v>82</v>
      </c>
      <c r="B3" s="285" t="s">
        <v>471</v>
      </c>
      <c r="C3" s="286" t="s">
        <v>82</v>
      </c>
      <c r="D3" s="287" t="s">
        <v>472</v>
      </c>
      <c r="E3" s="288" t="s">
        <v>84</v>
      </c>
      <c r="F3" s="289"/>
    </row>
    <row r="4" spans="1:6" ht="20.100000000000001" customHeight="1">
      <c r="A4" s="278">
        <v>39265</v>
      </c>
      <c r="B4" s="137" t="s">
        <v>83</v>
      </c>
      <c r="C4" s="271">
        <v>39265</v>
      </c>
      <c r="D4" s="13" t="s">
        <v>117</v>
      </c>
      <c r="E4" s="13" t="s">
        <v>118</v>
      </c>
      <c r="F4" s="280"/>
    </row>
    <row r="5" spans="1:6" ht="20.100000000000001" customHeight="1">
      <c r="A5" s="278">
        <v>39636</v>
      </c>
      <c r="B5" s="137" t="s">
        <v>83</v>
      </c>
      <c r="C5" s="271">
        <v>39636</v>
      </c>
      <c r="D5" s="13" t="s">
        <v>127</v>
      </c>
      <c r="E5" s="13" t="s">
        <v>118</v>
      </c>
      <c r="F5" s="280"/>
    </row>
    <row r="6" spans="1:6" ht="20.100000000000001" customHeight="1">
      <c r="A6" s="278">
        <v>39997</v>
      </c>
      <c r="B6" s="137" t="s">
        <v>127</v>
      </c>
      <c r="C6" s="271">
        <v>39997</v>
      </c>
      <c r="D6" s="13" t="s">
        <v>83</v>
      </c>
      <c r="E6" s="13" t="s">
        <v>118</v>
      </c>
      <c r="F6" s="280"/>
    </row>
    <row r="7" spans="1:6" ht="20.100000000000001" customHeight="1">
      <c r="A7" s="278">
        <v>40252</v>
      </c>
      <c r="B7" s="137" t="s">
        <v>83</v>
      </c>
      <c r="C7" s="271">
        <v>40259</v>
      </c>
      <c r="D7" s="13" t="s">
        <v>130</v>
      </c>
      <c r="E7" s="13" t="s">
        <v>118</v>
      </c>
      <c r="F7" s="280"/>
    </row>
    <row r="8" spans="1:6" ht="20.100000000000001" customHeight="1">
      <c r="A8" s="278">
        <v>40714</v>
      </c>
      <c r="B8" s="137" t="s">
        <v>83</v>
      </c>
      <c r="C8" s="271">
        <v>40723</v>
      </c>
      <c r="D8" s="13" t="s">
        <v>131</v>
      </c>
      <c r="E8" s="13" t="s">
        <v>118</v>
      </c>
      <c r="F8" s="280"/>
    </row>
    <row r="9" spans="1:6" ht="20.100000000000001" customHeight="1">
      <c r="A9" s="278">
        <v>40962</v>
      </c>
      <c r="B9" s="137" t="s">
        <v>83</v>
      </c>
      <c r="C9" s="271">
        <v>40974</v>
      </c>
      <c r="D9" s="13" t="s">
        <v>133</v>
      </c>
      <c r="E9" s="13" t="s">
        <v>118</v>
      </c>
      <c r="F9" s="280"/>
    </row>
    <row r="10" spans="1:6" ht="20.100000000000001" customHeight="1">
      <c r="A10" s="278">
        <v>41436</v>
      </c>
      <c r="B10" s="136" t="s">
        <v>83</v>
      </c>
      <c r="C10" s="271">
        <v>41450</v>
      </c>
      <c r="D10" s="13" t="s">
        <v>137</v>
      </c>
      <c r="E10" s="13" t="s">
        <v>118</v>
      </c>
      <c r="F10" s="280"/>
    </row>
    <row r="11" spans="1:6" ht="20.100000000000001" customHeight="1">
      <c r="A11" s="278">
        <v>41617</v>
      </c>
      <c r="B11" s="136" t="s">
        <v>83</v>
      </c>
      <c r="C11" s="271">
        <v>41618</v>
      </c>
      <c r="D11" s="37" t="s">
        <v>130</v>
      </c>
      <c r="E11" s="37" t="s">
        <v>118</v>
      </c>
      <c r="F11" s="280"/>
    </row>
    <row r="12" spans="1:6" ht="20.100000000000001" customHeight="1">
      <c r="A12" s="278">
        <v>41764</v>
      </c>
      <c r="B12" s="136" t="s">
        <v>83</v>
      </c>
      <c r="C12" s="271">
        <v>41773</v>
      </c>
      <c r="D12" s="37" t="s">
        <v>130</v>
      </c>
      <c r="E12" s="37" t="s">
        <v>118</v>
      </c>
      <c r="F12" s="280"/>
    </row>
    <row r="13" spans="1:6" ht="20.100000000000001" customHeight="1">
      <c r="A13" s="278">
        <v>41958</v>
      </c>
      <c r="B13" s="137" t="s">
        <v>83</v>
      </c>
      <c r="C13" s="271">
        <v>41964</v>
      </c>
      <c r="D13" s="37" t="s">
        <v>146</v>
      </c>
      <c r="E13" s="13" t="s">
        <v>118</v>
      </c>
      <c r="F13" s="280"/>
    </row>
    <row r="14" spans="1:6" ht="20.100000000000001" customHeight="1">
      <c r="A14" s="278">
        <v>42195</v>
      </c>
      <c r="B14" s="136" t="s">
        <v>83</v>
      </c>
      <c r="C14" s="271">
        <v>42209</v>
      </c>
      <c r="D14" s="37" t="s">
        <v>130</v>
      </c>
      <c r="E14" s="37" t="s">
        <v>118</v>
      </c>
      <c r="F14" s="280"/>
    </row>
    <row r="15" spans="1:6" ht="20.100000000000001" customHeight="1">
      <c r="A15" s="278">
        <v>42345</v>
      </c>
      <c r="B15" s="136" t="s">
        <v>83</v>
      </c>
      <c r="C15" s="271">
        <v>42349</v>
      </c>
      <c r="D15" s="37" t="s">
        <v>130</v>
      </c>
      <c r="E15" s="37" t="s">
        <v>118</v>
      </c>
      <c r="F15" s="280"/>
    </row>
    <row r="16" spans="1:6" ht="20.100000000000001" customHeight="1">
      <c r="A16" s="278">
        <v>42510</v>
      </c>
      <c r="B16" s="136" t="s">
        <v>83</v>
      </c>
      <c r="C16" s="271">
        <v>42516</v>
      </c>
      <c r="D16" s="37" t="s">
        <v>245</v>
      </c>
      <c r="E16" s="37" t="s">
        <v>118</v>
      </c>
      <c r="F16" s="280"/>
    </row>
    <row r="17" spans="1:6" ht="20.100000000000001" customHeight="1">
      <c r="A17" s="278">
        <v>42711</v>
      </c>
      <c r="B17" s="136" t="s">
        <v>260</v>
      </c>
      <c r="C17" s="271">
        <v>42706</v>
      </c>
      <c r="D17" s="37" t="s">
        <v>261</v>
      </c>
      <c r="E17" s="37" t="s">
        <v>118</v>
      </c>
      <c r="F17" s="280"/>
    </row>
    <row r="18" spans="1:6" ht="20.100000000000001" customHeight="1">
      <c r="A18" s="278">
        <v>42884</v>
      </c>
      <c r="B18" s="136" t="s">
        <v>260</v>
      </c>
      <c r="C18" s="271">
        <v>42879</v>
      </c>
      <c r="D18" s="37" t="s">
        <v>261</v>
      </c>
      <c r="E18" s="37" t="s">
        <v>118</v>
      </c>
      <c r="F18" s="280"/>
    </row>
    <row r="19" spans="1:6" ht="20.100000000000001" customHeight="1">
      <c r="A19" s="278">
        <v>43250</v>
      </c>
      <c r="B19" s="136" t="s">
        <v>260</v>
      </c>
      <c r="C19" s="271">
        <v>43250</v>
      </c>
      <c r="D19" s="37" t="s">
        <v>261</v>
      </c>
      <c r="E19" s="37" t="s">
        <v>118</v>
      </c>
      <c r="F19" s="280"/>
    </row>
    <row r="20" spans="1:6" ht="20.100000000000001" customHeight="1">
      <c r="A20" s="278">
        <v>43432</v>
      </c>
      <c r="B20" s="136" t="s">
        <v>260</v>
      </c>
      <c r="C20" s="271">
        <v>43432</v>
      </c>
      <c r="D20" s="37" t="s">
        <v>261</v>
      </c>
      <c r="E20" s="37" t="s">
        <v>118</v>
      </c>
      <c r="F20" s="280"/>
    </row>
    <row r="21" spans="1:6" ht="20.100000000000001" customHeight="1">
      <c r="A21" s="278">
        <v>43608</v>
      </c>
      <c r="B21" s="136" t="s">
        <v>260</v>
      </c>
      <c r="C21" s="271">
        <v>43612</v>
      </c>
      <c r="D21" s="37" t="s">
        <v>261</v>
      </c>
      <c r="E21" s="37" t="s">
        <v>118</v>
      </c>
      <c r="F21" s="280"/>
    </row>
    <row r="22" spans="1:6" ht="20.100000000000001" customHeight="1">
      <c r="A22" s="278">
        <v>43812</v>
      </c>
      <c r="B22" s="136" t="s">
        <v>260</v>
      </c>
      <c r="C22" s="271">
        <v>43812</v>
      </c>
      <c r="D22" s="37" t="s">
        <v>261</v>
      </c>
      <c r="E22" s="37" t="s">
        <v>118</v>
      </c>
      <c r="F22" s="280"/>
    </row>
    <row r="23" spans="1:6" ht="20.100000000000001" customHeight="1">
      <c r="A23" s="278">
        <v>43951</v>
      </c>
      <c r="B23" s="136" t="s">
        <v>260</v>
      </c>
      <c r="C23" s="271">
        <v>43955</v>
      </c>
      <c r="D23" s="37" t="s">
        <v>261</v>
      </c>
      <c r="E23" s="37" t="s">
        <v>118</v>
      </c>
      <c r="F23" s="280"/>
    </row>
    <row r="24" spans="1:6" ht="20.100000000000001" customHeight="1">
      <c r="A24" s="278">
        <v>44181</v>
      </c>
      <c r="B24" s="136" t="s">
        <v>260</v>
      </c>
      <c r="C24" s="271">
        <v>44181</v>
      </c>
      <c r="D24" s="37" t="s">
        <v>394</v>
      </c>
      <c r="E24" s="37" t="s">
        <v>118</v>
      </c>
      <c r="F24" s="280"/>
    </row>
    <row r="25" spans="1:6" ht="20.100000000000001" customHeight="1">
      <c r="A25" s="278">
        <v>44344</v>
      </c>
      <c r="B25" s="136" t="s">
        <v>260</v>
      </c>
      <c r="C25" s="271">
        <v>44344</v>
      </c>
      <c r="D25" s="37" t="s">
        <v>394</v>
      </c>
      <c r="E25" s="37" t="s">
        <v>118</v>
      </c>
      <c r="F25" s="280"/>
    </row>
    <row r="26" spans="1:6" ht="20.100000000000001" customHeight="1">
      <c r="A26" s="278">
        <v>44551</v>
      </c>
      <c r="B26" s="136" t="s">
        <v>260</v>
      </c>
      <c r="C26" s="271">
        <v>44551</v>
      </c>
      <c r="D26" s="37" t="s">
        <v>394</v>
      </c>
      <c r="E26" s="37" t="s">
        <v>118</v>
      </c>
      <c r="F26" s="280"/>
    </row>
    <row r="27" spans="1:6" ht="20.100000000000001" customHeight="1">
      <c r="A27" s="278">
        <v>44684</v>
      </c>
      <c r="B27" s="136" t="s">
        <v>260</v>
      </c>
      <c r="C27" s="271">
        <v>44684</v>
      </c>
      <c r="D27" s="37" t="s">
        <v>394</v>
      </c>
      <c r="E27" s="37" t="s">
        <v>118</v>
      </c>
      <c r="F27" s="280"/>
    </row>
    <row r="28" spans="1:6" ht="20.100000000000001" customHeight="1">
      <c r="A28" s="278">
        <v>44909</v>
      </c>
      <c r="B28" s="136" t="s">
        <v>260</v>
      </c>
      <c r="C28" s="271">
        <v>44909</v>
      </c>
      <c r="D28" s="37" t="s">
        <v>394</v>
      </c>
      <c r="E28" s="37" t="s">
        <v>118</v>
      </c>
      <c r="F28" s="280"/>
    </row>
    <row r="29" spans="1:6" ht="20.100000000000001" customHeight="1">
      <c r="A29" s="278">
        <v>45044</v>
      </c>
      <c r="B29" s="136" t="s">
        <v>260</v>
      </c>
      <c r="C29" s="271">
        <v>45044</v>
      </c>
      <c r="D29" s="37" t="s">
        <v>394</v>
      </c>
      <c r="E29" s="13" t="s">
        <v>118</v>
      </c>
      <c r="F29" s="280"/>
    </row>
    <row r="30" spans="1:6" ht="20.100000000000001" customHeight="1">
      <c r="A30" s="278"/>
      <c r="B30" s="137"/>
      <c r="C30" s="271"/>
      <c r="D30" s="13"/>
      <c r="E30" s="13"/>
      <c r="F30" s="280"/>
    </row>
    <row r="31" spans="1:6" ht="20.100000000000001" customHeight="1">
      <c r="A31" s="278"/>
      <c r="B31" s="137"/>
      <c r="C31" s="271"/>
      <c r="D31" s="13"/>
      <c r="E31" s="13"/>
      <c r="F31" s="280"/>
    </row>
    <row r="32" spans="1:6" ht="20.100000000000001" customHeight="1">
      <c r="A32" s="278"/>
      <c r="B32" s="137"/>
      <c r="C32" s="271"/>
      <c r="D32" s="13"/>
      <c r="E32" s="13"/>
      <c r="F32" s="280"/>
    </row>
    <row r="33" spans="1:6" ht="20.100000000000001" customHeight="1">
      <c r="A33" s="278"/>
      <c r="B33" s="137"/>
      <c r="C33" s="271"/>
      <c r="D33" s="13"/>
      <c r="E33" s="13"/>
      <c r="F33" s="280"/>
    </row>
    <row r="34" spans="1:6" ht="20.100000000000001" customHeight="1">
      <c r="A34" s="278"/>
      <c r="B34" s="137"/>
      <c r="C34" s="271"/>
      <c r="D34" s="13"/>
      <c r="E34" s="13"/>
      <c r="F34" s="280"/>
    </row>
    <row r="35" spans="1:6" ht="20.100000000000001" customHeight="1">
      <c r="A35" s="278"/>
      <c r="B35" s="137"/>
      <c r="C35" s="271"/>
      <c r="D35" s="13"/>
      <c r="E35" s="13"/>
      <c r="F35" s="280"/>
    </row>
    <row r="36" spans="1:6" ht="20.100000000000001" customHeight="1">
      <c r="A36" s="278"/>
      <c r="B36" s="137"/>
      <c r="C36" s="271"/>
      <c r="D36" s="13"/>
      <c r="E36" s="37"/>
      <c r="F36" s="280"/>
    </row>
    <row r="37" spans="1:6" ht="20.100000000000001" customHeight="1">
      <c r="A37" s="278"/>
      <c r="B37" s="137"/>
      <c r="C37" s="271"/>
      <c r="D37" s="13"/>
      <c r="E37" s="13"/>
      <c r="F37" s="280"/>
    </row>
    <row r="38" spans="1:6" ht="20.100000000000001" customHeight="1">
      <c r="A38" s="278"/>
      <c r="B38" s="137"/>
      <c r="C38" s="271"/>
      <c r="D38" s="13"/>
      <c r="E38" s="13"/>
      <c r="F38" s="280"/>
    </row>
    <row r="39" spans="1:6" ht="20.100000000000001" customHeight="1">
      <c r="A39" s="278"/>
      <c r="B39" s="137"/>
      <c r="C39" s="271"/>
      <c r="D39" s="13"/>
      <c r="E39" s="13"/>
      <c r="F39" s="280"/>
    </row>
    <row r="40" spans="1:6" ht="20.100000000000001" customHeight="1">
      <c r="A40" s="278"/>
      <c r="B40" s="137"/>
      <c r="C40" s="271"/>
      <c r="D40" s="13"/>
      <c r="E40" s="13"/>
      <c r="F40" s="280"/>
    </row>
    <row r="41" spans="1:6" ht="20.100000000000001" customHeight="1">
      <c r="A41" s="278"/>
      <c r="B41" s="137"/>
      <c r="C41" s="271"/>
      <c r="D41" s="13"/>
      <c r="E41" s="13"/>
      <c r="F41" s="280"/>
    </row>
    <row r="42" spans="1:6" ht="20.100000000000001" customHeight="1">
      <c r="A42" s="278"/>
      <c r="B42" s="137"/>
      <c r="C42" s="271"/>
      <c r="D42" s="13"/>
      <c r="E42" s="13"/>
      <c r="F42" s="280"/>
    </row>
    <row r="43" spans="1:6" ht="20.100000000000001" customHeight="1">
      <c r="A43" s="278"/>
      <c r="B43" s="137"/>
      <c r="C43" s="271"/>
      <c r="D43" s="13"/>
      <c r="E43" s="13"/>
      <c r="F43" s="280"/>
    </row>
    <row r="44" spans="1:6" ht="20.100000000000001" customHeight="1">
      <c r="A44" s="278"/>
      <c r="B44" s="137"/>
      <c r="C44" s="271"/>
      <c r="D44" s="13"/>
      <c r="E44" s="13"/>
      <c r="F44" s="280"/>
    </row>
    <row r="45" spans="1:6" ht="20.100000000000001" customHeight="1">
      <c r="A45" s="279"/>
      <c r="B45" s="277"/>
      <c r="F45" s="280"/>
    </row>
    <row r="46" spans="1:6" ht="20.100000000000001" customHeight="1">
      <c r="A46" s="279"/>
      <c r="B46" s="277"/>
      <c r="F46" s="280"/>
    </row>
    <row r="47" spans="1:6" ht="20.100000000000001" customHeight="1">
      <c r="A47" s="279"/>
      <c r="B47" s="277"/>
      <c r="F47" s="280"/>
    </row>
    <row r="48" spans="1:6" ht="20.100000000000001" customHeight="1">
      <c r="A48" s="279"/>
      <c r="B48" s="277"/>
      <c r="F48" s="280"/>
    </row>
    <row r="49" spans="1:6" ht="20.100000000000001" customHeight="1">
      <c r="A49" s="279"/>
      <c r="B49" s="277"/>
      <c r="F49" s="280"/>
    </row>
    <row r="50" spans="1:6" ht="20.100000000000001" customHeight="1">
      <c r="A50" s="279"/>
      <c r="B50" s="277"/>
      <c r="F50" s="280"/>
    </row>
    <row r="51" spans="1:6" ht="20.100000000000001" customHeight="1">
      <c r="A51" s="279"/>
      <c r="B51" s="277"/>
      <c r="F51" s="280"/>
    </row>
    <row r="52" spans="1:6" ht="20.100000000000001" customHeight="1">
      <c r="A52" s="279"/>
      <c r="B52" s="277"/>
      <c r="F52" s="280"/>
    </row>
    <row r="53" spans="1:6" ht="20.100000000000001" customHeight="1">
      <c r="A53" s="279"/>
      <c r="B53" s="277"/>
      <c r="F53" s="280"/>
    </row>
    <row r="54" spans="1:6" ht="20.100000000000001" customHeight="1">
      <c r="A54" s="279"/>
      <c r="B54" s="277"/>
      <c r="F54" s="280"/>
    </row>
    <row r="55" spans="1:6" ht="20.100000000000001" customHeight="1">
      <c r="A55" s="279"/>
      <c r="B55" s="277"/>
      <c r="F55" s="280"/>
    </row>
    <row r="56" spans="1:6" ht="20.100000000000001" customHeight="1">
      <c r="A56" s="279"/>
      <c r="B56" s="277"/>
      <c r="F56" s="280"/>
    </row>
    <row r="57" spans="1:6" ht="20.100000000000001" customHeight="1">
      <c r="A57" s="279"/>
      <c r="B57" s="277"/>
      <c r="F57" s="280"/>
    </row>
    <row r="58" spans="1:6" ht="20.100000000000001" customHeight="1">
      <c r="A58" s="279"/>
      <c r="B58" s="277"/>
      <c r="F58" s="280"/>
    </row>
    <row r="59" spans="1:6" ht="20.100000000000001" customHeight="1">
      <c r="A59" s="279"/>
      <c r="B59" s="277"/>
      <c r="F59" s="280"/>
    </row>
    <row r="60" spans="1:6" ht="20.100000000000001" customHeight="1" thickBot="1">
      <c r="A60" s="281"/>
      <c r="B60" s="282"/>
      <c r="C60" s="272"/>
      <c r="D60" s="272"/>
      <c r="E60" s="272"/>
      <c r="F60" s="283"/>
    </row>
    <row r="61" spans="1:6" ht="20.100000000000001" customHeight="1">
      <c r="A61" s="149"/>
      <c r="B61" s="149"/>
      <c r="C61" s="149"/>
      <c r="D61" s="149"/>
      <c r="E61" s="149"/>
      <c r="F61" s="149"/>
    </row>
    <row r="62" spans="1:6" ht="20.100000000000001" customHeight="1">
      <c r="A62" s="149"/>
      <c r="B62" s="149"/>
      <c r="C62" s="149"/>
      <c r="D62" s="149"/>
      <c r="E62" s="149"/>
      <c r="F62" s="149"/>
    </row>
    <row r="63" spans="1:6" ht="20.100000000000001" customHeight="1">
      <c r="A63" s="149"/>
      <c r="B63" s="149"/>
      <c r="C63" s="149"/>
      <c r="D63" s="149"/>
      <c r="E63" s="149"/>
      <c r="F63" s="149"/>
    </row>
    <row r="64" spans="1:6" ht="20.100000000000001" customHeight="1">
      <c r="A64" s="149"/>
      <c r="B64" s="149"/>
      <c r="C64" s="149"/>
      <c r="D64" s="149"/>
      <c r="E64" s="149"/>
      <c r="F64" s="149"/>
    </row>
    <row r="65" spans="1:6" ht="20.100000000000001" customHeight="1">
      <c r="A65" s="149"/>
      <c r="B65" s="149"/>
      <c r="C65" s="149"/>
      <c r="D65" s="149"/>
      <c r="E65" s="149"/>
      <c r="F65" s="149"/>
    </row>
    <row r="66" spans="1:6" ht="20.100000000000001" customHeight="1">
      <c r="A66" s="149"/>
      <c r="B66" s="149"/>
      <c r="C66" s="149"/>
      <c r="D66" s="149"/>
      <c r="E66" s="149"/>
      <c r="F66" s="149"/>
    </row>
    <row r="67" spans="1:6" ht="20.100000000000001" customHeight="1">
      <c r="A67" s="149"/>
      <c r="B67" s="149"/>
      <c r="C67" s="149"/>
      <c r="D67" s="149"/>
      <c r="E67" s="149"/>
      <c r="F67" s="149"/>
    </row>
    <row r="68" spans="1:6" ht="20.100000000000001" customHeight="1">
      <c r="A68" s="149"/>
      <c r="B68" s="149"/>
      <c r="C68" s="149"/>
      <c r="D68" s="149"/>
      <c r="E68" s="149"/>
      <c r="F68" s="149"/>
    </row>
    <row r="69" spans="1:6" ht="20.100000000000001" customHeight="1">
      <c r="A69" s="149"/>
      <c r="B69" s="149"/>
      <c r="C69" s="149"/>
      <c r="D69" s="149"/>
      <c r="E69" s="149"/>
      <c r="F69" s="149"/>
    </row>
    <row r="70" spans="1:6" ht="20.100000000000001" customHeight="1">
      <c r="A70" s="149"/>
      <c r="B70" s="149"/>
      <c r="C70" s="149"/>
      <c r="D70" s="149"/>
      <c r="E70" s="149"/>
      <c r="F70" s="149"/>
    </row>
    <row r="71" spans="1:6" ht="20.100000000000001" customHeight="1">
      <c r="A71" s="149"/>
      <c r="B71" s="149"/>
      <c r="C71" s="149"/>
      <c r="D71" s="149"/>
      <c r="E71" s="149"/>
      <c r="F71" s="149"/>
    </row>
    <row r="72" spans="1:6" ht="20.100000000000001" customHeight="1">
      <c r="A72" s="149"/>
      <c r="B72" s="149"/>
      <c r="C72" s="149"/>
      <c r="D72" s="149"/>
      <c r="E72" s="149"/>
      <c r="F72" s="149"/>
    </row>
    <row r="73" spans="1:6" ht="20.100000000000001" customHeight="1">
      <c r="A73" s="149"/>
      <c r="B73" s="149"/>
      <c r="C73" s="149"/>
      <c r="D73" s="149"/>
      <c r="E73" s="149"/>
      <c r="F73" s="149"/>
    </row>
    <row r="74" spans="1:6" ht="20.100000000000001" customHeight="1">
      <c r="A74" s="149"/>
      <c r="B74" s="149"/>
      <c r="C74" s="149"/>
      <c r="D74" s="149"/>
      <c r="E74" s="149"/>
      <c r="F74" s="149"/>
    </row>
    <row r="75" spans="1:6" ht="20.100000000000001" customHeight="1">
      <c r="A75" s="149"/>
      <c r="B75" s="149"/>
      <c r="C75" s="149"/>
      <c r="D75" s="149"/>
      <c r="E75" s="149"/>
      <c r="F75" s="149"/>
    </row>
    <row r="76" spans="1:6" ht="20.100000000000001" customHeight="1">
      <c r="A76" s="149"/>
      <c r="B76" s="149"/>
      <c r="C76" s="149"/>
      <c r="D76" s="149"/>
      <c r="E76" s="149"/>
      <c r="F76" s="149"/>
    </row>
    <row r="77" spans="1:6" ht="20.100000000000001" customHeight="1">
      <c r="A77" s="149"/>
      <c r="B77" s="149"/>
      <c r="C77" s="149"/>
      <c r="D77" s="149"/>
      <c r="E77" s="149"/>
      <c r="F77" s="149"/>
    </row>
    <row r="78" spans="1:6" ht="20.100000000000001" customHeight="1">
      <c r="A78" s="149"/>
      <c r="B78" s="149"/>
      <c r="C78" s="149"/>
      <c r="D78" s="149"/>
      <c r="E78" s="149"/>
      <c r="F78" s="149"/>
    </row>
    <row r="79" spans="1:6" ht="20.100000000000001" customHeight="1">
      <c r="A79" s="149"/>
      <c r="B79" s="149"/>
      <c r="C79" s="149"/>
      <c r="D79" s="149"/>
      <c r="E79" s="149"/>
      <c r="F79" s="149"/>
    </row>
    <row r="80" spans="1:6" ht="20.100000000000001" customHeight="1">
      <c r="A80" s="149"/>
      <c r="B80" s="149"/>
      <c r="C80" s="149"/>
      <c r="D80" s="149"/>
      <c r="E80" s="149"/>
      <c r="F80" s="149"/>
    </row>
    <row r="81" spans="1:6" ht="20.100000000000001" customHeight="1">
      <c r="A81" s="149"/>
      <c r="B81" s="149"/>
      <c r="C81" s="149"/>
      <c r="D81" s="149"/>
      <c r="E81" s="149"/>
      <c r="F81" s="149"/>
    </row>
    <row r="82" spans="1:6" ht="20.100000000000001" customHeight="1">
      <c r="A82" s="149"/>
      <c r="B82" s="149"/>
      <c r="C82" s="149"/>
      <c r="D82" s="149"/>
      <c r="E82" s="149"/>
      <c r="F82" s="149"/>
    </row>
    <row r="83" spans="1:6" ht="20.100000000000001" customHeight="1">
      <c r="A83" s="149"/>
      <c r="B83" s="149"/>
      <c r="C83" s="149"/>
      <c r="D83" s="149"/>
      <c r="E83" s="149"/>
      <c r="F83" s="149"/>
    </row>
    <row r="84" spans="1:6" ht="20.100000000000001" customHeight="1">
      <c r="A84" s="149"/>
      <c r="B84" s="149"/>
      <c r="C84" s="149"/>
      <c r="D84" s="149"/>
      <c r="E84" s="149"/>
      <c r="F84" s="149"/>
    </row>
    <row r="85" spans="1:6" ht="20.100000000000001" customHeight="1">
      <c r="A85" s="149"/>
      <c r="B85" s="149"/>
      <c r="C85" s="149"/>
      <c r="D85" s="149"/>
      <c r="E85" s="149"/>
      <c r="F85" s="149"/>
    </row>
    <row r="86" spans="1:6" ht="20.100000000000001" customHeight="1">
      <c r="A86" s="149"/>
      <c r="B86" s="149"/>
      <c r="C86" s="149"/>
      <c r="D86" s="149"/>
      <c r="E86" s="149"/>
      <c r="F86" s="149"/>
    </row>
    <row r="87" spans="1:6" ht="20.100000000000001" customHeight="1">
      <c r="A87" s="149"/>
      <c r="B87" s="149"/>
      <c r="C87" s="149"/>
      <c r="D87" s="149"/>
      <c r="E87" s="149"/>
      <c r="F87" s="149"/>
    </row>
    <row r="88" spans="1:6" ht="20.100000000000001" customHeight="1">
      <c r="A88" s="149"/>
      <c r="B88" s="149"/>
      <c r="C88" s="149"/>
      <c r="D88" s="149"/>
      <c r="E88" s="149"/>
      <c r="F88" s="149"/>
    </row>
    <row r="89" spans="1:6" ht="20.100000000000001" customHeight="1">
      <c r="A89" s="149"/>
      <c r="B89" s="149"/>
      <c r="C89" s="149"/>
      <c r="D89" s="149"/>
      <c r="E89" s="149"/>
      <c r="F89" s="149"/>
    </row>
    <row r="90" spans="1:6" ht="20.100000000000001" customHeight="1">
      <c r="A90" s="149"/>
      <c r="B90" s="149"/>
      <c r="C90" s="149"/>
      <c r="D90" s="149"/>
      <c r="E90" s="149"/>
      <c r="F90" s="149"/>
    </row>
    <row r="91" spans="1:6" ht="20.100000000000001" customHeight="1">
      <c r="A91" s="149"/>
      <c r="B91" s="149"/>
      <c r="C91" s="149"/>
      <c r="D91" s="149"/>
      <c r="E91" s="149"/>
      <c r="F91" s="149"/>
    </row>
    <row r="92" spans="1:6" ht="20.100000000000001" customHeight="1">
      <c r="A92" s="149"/>
      <c r="B92" s="149"/>
      <c r="C92" s="149"/>
      <c r="D92" s="149"/>
      <c r="E92" s="149"/>
      <c r="F92" s="149"/>
    </row>
    <row r="93" spans="1:6" ht="20.100000000000001" customHeight="1">
      <c r="A93" s="149"/>
      <c r="B93" s="149"/>
      <c r="C93" s="149"/>
      <c r="D93" s="149"/>
      <c r="E93" s="149"/>
      <c r="F93" s="149"/>
    </row>
    <row r="94" spans="1:6" ht="20.100000000000001" customHeight="1">
      <c r="A94" s="149"/>
      <c r="B94" s="149"/>
      <c r="C94" s="149"/>
      <c r="D94" s="149"/>
      <c r="E94" s="149"/>
      <c r="F94" s="149"/>
    </row>
    <row r="95" spans="1:6" ht="20.100000000000001" customHeight="1">
      <c r="A95" s="149"/>
      <c r="B95" s="149"/>
      <c r="C95" s="149"/>
      <c r="D95" s="149"/>
      <c r="E95" s="149"/>
      <c r="F95" s="149"/>
    </row>
    <row r="96" spans="1:6" ht="20.100000000000001" customHeight="1">
      <c r="A96" s="149"/>
      <c r="B96" s="149"/>
      <c r="C96" s="149"/>
      <c r="D96" s="149"/>
      <c r="E96" s="149"/>
      <c r="F96" s="149"/>
    </row>
    <row r="97" spans="1:6" ht="20.100000000000001" customHeight="1">
      <c r="A97" s="149"/>
      <c r="B97" s="149"/>
      <c r="C97" s="149"/>
      <c r="D97" s="149"/>
      <c r="E97" s="149"/>
      <c r="F97" s="149"/>
    </row>
    <row r="98" spans="1:6" ht="20.100000000000001" customHeight="1">
      <c r="A98" s="149"/>
      <c r="B98" s="149"/>
      <c r="C98" s="149"/>
      <c r="D98" s="149"/>
      <c r="E98" s="149"/>
      <c r="F98" s="149"/>
    </row>
    <row r="99" spans="1:6" ht="20.100000000000001" customHeight="1">
      <c r="A99" s="149"/>
      <c r="B99" s="149"/>
      <c r="C99" s="149"/>
      <c r="D99" s="149"/>
      <c r="E99" s="149"/>
      <c r="F99" s="149"/>
    </row>
    <row r="100" spans="1:6" ht="20.100000000000001" customHeight="1">
      <c r="A100" s="149"/>
      <c r="B100" s="149"/>
      <c r="C100" s="149"/>
      <c r="D100" s="149"/>
      <c r="E100" s="149"/>
      <c r="F100" s="149"/>
    </row>
    <row r="101" spans="1:6" ht="20.100000000000001" customHeight="1">
      <c r="A101" s="149"/>
      <c r="B101" s="149"/>
      <c r="C101" s="149"/>
      <c r="D101" s="149"/>
      <c r="E101" s="149"/>
      <c r="F101" s="149"/>
    </row>
    <row r="102" spans="1:6" ht="20.100000000000001" customHeight="1">
      <c r="A102" s="149"/>
      <c r="B102" s="149"/>
      <c r="C102" s="149"/>
      <c r="D102" s="149"/>
      <c r="E102" s="149"/>
      <c r="F102" s="149"/>
    </row>
    <row r="103" spans="1:6" ht="20.100000000000001" customHeight="1">
      <c r="A103" s="149"/>
      <c r="B103" s="149"/>
      <c r="C103" s="149"/>
      <c r="D103" s="149"/>
      <c r="E103" s="149"/>
      <c r="F103" s="149"/>
    </row>
    <row r="104" spans="1:6" ht="20.100000000000001" customHeight="1">
      <c r="A104" s="149"/>
      <c r="B104" s="149"/>
      <c r="C104" s="149"/>
      <c r="D104" s="149"/>
      <c r="E104" s="149"/>
      <c r="F104" s="149"/>
    </row>
    <row r="105" spans="1:6" ht="20.100000000000001" customHeight="1">
      <c r="A105" s="149"/>
      <c r="B105" s="149"/>
      <c r="C105" s="149"/>
      <c r="D105" s="149"/>
      <c r="E105" s="149"/>
      <c r="F105" s="149"/>
    </row>
    <row r="106" spans="1:6" ht="20.100000000000001" customHeight="1">
      <c r="A106" s="149"/>
      <c r="B106" s="149"/>
      <c r="C106" s="149"/>
      <c r="D106" s="149"/>
      <c r="E106" s="149"/>
      <c r="F106" s="149"/>
    </row>
    <row r="107" spans="1:6" ht="20.100000000000001" customHeight="1">
      <c r="A107" s="149"/>
      <c r="B107" s="149"/>
      <c r="C107" s="149"/>
      <c r="D107" s="149"/>
      <c r="E107" s="149"/>
      <c r="F107" s="149"/>
    </row>
    <row r="108" spans="1:6" ht="20.100000000000001" customHeight="1">
      <c r="A108" s="149"/>
      <c r="B108" s="149"/>
      <c r="C108" s="149"/>
      <c r="D108" s="149"/>
      <c r="E108" s="149"/>
      <c r="F108" s="149"/>
    </row>
    <row r="109" spans="1:6" ht="20.100000000000001" customHeight="1">
      <c r="A109" s="149"/>
      <c r="B109" s="149"/>
      <c r="C109" s="149"/>
      <c r="D109" s="149"/>
      <c r="E109" s="149"/>
      <c r="F109" s="149"/>
    </row>
    <row r="110" spans="1:6" ht="20.100000000000001" customHeight="1">
      <c r="A110" s="149"/>
      <c r="B110" s="149"/>
      <c r="C110" s="149"/>
      <c r="D110" s="149"/>
      <c r="E110" s="149"/>
      <c r="F110" s="149"/>
    </row>
    <row r="111" spans="1:6" ht="20.100000000000001" customHeight="1">
      <c r="A111" s="149"/>
      <c r="B111" s="149"/>
      <c r="C111" s="149"/>
      <c r="D111" s="149"/>
      <c r="E111" s="149"/>
      <c r="F111" s="149"/>
    </row>
    <row r="112" spans="1:6" ht="20.100000000000001" customHeight="1">
      <c r="A112" s="149"/>
      <c r="B112" s="149"/>
      <c r="C112" s="149"/>
      <c r="D112" s="149"/>
      <c r="E112" s="149"/>
      <c r="F112" s="149"/>
    </row>
    <row r="113" spans="1:6" ht="20.100000000000001" customHeight="1">
      <c r="A113" s="149"/>
      <c r="B113" s="149"/>
      <c r="C113" s="149"/>
      <c r="D113" s="149"/>
      <c r="E113" s="149"/>
      <c r="F113" s="149"/>
    </row>
    <row r="114" spans="1:6" ht="20.100000000000001" customHeight="1">
      <c r="A114" s="149"/>
      <c r="B114" s="149"/>
      <c r="C114" s="149"/>
      <c r="D114" s="149"/>
      <c r="E114" s="149"/>
      <c r="F114" s="149"/>
    </row>
    <row r="115" spans="1:6" ht="20.100000000000001" customHeight="1">
      <c r="A115" s="149"/>
      <c r="B115" s="149"/>
      <c r="C115" s="149"/>
      <c r="D115" s="149"/>
      <c r="E115" s="149"/>
      <c r="F115" s="149"/>
    </row>
    <row r="116" spans="1:6" ht="20.100000000000001" customHeight="1">
      <c r="A116" s="149"/>
      <c r="B116" s="149"/>
      <c r="C116" s="149"/>
      <c r="D116" s="149"/>
      <c r="E116" s="149"/>
      <c r="F116" s="149"/>
    </row>
    <row r="117" spans="1:6" ht="20.100000000000001" customHeight="1">
      <c r="A117" s="149"/>
      <c r="B117" s="149"/>
      <c r="C117" s="149"/>
      <c r="D117" s="149"/>
      <c r="E117" s="149"/>
      <c r="F117" s="149"/>
    </row>
    <row r="118" spans="1:6" ht="20.100000000000001" customHeight="1">
      <c r="A118" s="149"/>
      <c r="B118" s="149"/>
      <c r="C118" s="149"/>
      <c r="D118" s="149"/>
      <c r="E118" s="149"/>
      <c r="F118" s="149"/>
    </row>
    <row r="119" spans="1:6" ht="20.100000000000001" customHeight="1">
      <c r="A119" s="149"/>
      <c r="B119" s="149"/>
      <c r="C119" s="149"/>
      <c r="D119" s="149"/>
      <c r="E119" s="149"/>
      <c r="F119" s="149"/>
    </row>
    <row r="120" spans="1:6" ht="20.100000000000001" customHeight="1">
      <c r="A120" s="149"/>
      <c r="B120" s="149"/>
      <c r="C120" s="149"/>
      <c r="D120" s="149"/>
      <c r="E120" s="149"/>
      <c r="F120" s="149"/>
    </row>
    <row r="121" spans="1:6" ht="20.100000000000001" customHeight="1">
      <c r="A121" s="149"/>
      <c r="B121" s="149"/>
      <c r="C121" s="149"/>
      <c r="D121" s="149"/>
      <c r="E121" s="149"/>
      <c r="F121" s="149"/>
    </row>
    <row r="122" spans="1:6" ht="20.100000000000001" customHeight="1">
      <c r="A122" s="149"/>
      <c r="B122" s="149"/>
      <c r="C122" s="149"/>
      <c r="D122" s="149"/>
      <c r="E122" s="149"/>
      <c r="F122" s="149"/>
    </row>
    <row r="123" spans="1:6" ht="20.100000000000001" customHeight="1">
      <c r="A123" s="149"/>
      <c r="B123" s="149"/>
      <c r="C123" s="149"/>
      <c r="D123" s="149"/>
      <c r="E123" s="149"/>
      <c r="F123" s="149"/>
    </row>
    <row r="124" spans="1:6" ht="20.100000000000001" customHeight="1">
      <c r="A124" s="149"/>
      <c r="B124" s="149"/>
      <c r="C124" s="149"/>
      <c r="D124" s="149"/>
      <c r="E124" s="149"/>
      <c r="F124" s="149"/>
    </row>
    <row r="125" spans="1:6" ht="20.100000000000001" customHeight="1">
      <c r="A125" s="149"/>
      <c r="B125" s="149"/>
      <c r="C125" s="149"/>
      <c r="D125" s="149"/>
      <c r="E125" s="149"/>
      <c r="F125" s="149"/>
    </row>
    <row r="126" spans="1:6" ht="20.100000000000001" customHeight="1">
      <c r="A126" s="149"/>
      <c r="B126" s="149"/>
      <c r="C126" s="149"/>
      <c r="D126" s="149"/>
      <c r="E126" s="149"/>
      <c r="F126" s="149"/>
    </row>
    <row r="127" spans="1:6" ht="20.100000000000001" customHeight="1">
      <c r="A127" s="149"/>
      <c r="B127" s="149"/>
      <c r="C127" s="149"/>
      <c r="D127" s="149"/>
      <c r="E127" s="149"/>
      <c r="F127" s="149"/>
    </row>
    <row r="128" spans="1:6" ht="20.100000000000001" customHeight="1">
      <c r="A128" s="149"/>
      <c r="B128" s="149"/>
      <c r="C128" s="149"/>
      <c r="D128" s="149"/>
      <c r="E128" s="149"/>
      <c r="F128" s="149"/>
    </row>
    <row r="129" spans="1:6" ht="20.100000000000001" customHeight="1">
      <c r="A129" s="149"/>
      <c r="B129" s="149"/>
      <c r="C129" s="149"/>
      <c r="D129" s="149"/>
      <c r="E129" s="149"/>
      <c r="F129" s="149"/>
    </row>
    <row r="130" spans="1:6">
      <c r="A130" s="149"/>
      <c r="B130" s="149"/>
      <c r="C130" s="149"/>
      <c r="D130" s="149"/>
      <c r="E130" s="149"/>
      <c r="F130" s="149"/>
    </row>
    <row r="131" spans="1:6">
      <c r="A131" s="149"/>
      <c r="B131" s="149"/>
      <c r="C131" s="149"/>
      <c r="D131" s="149"/>
      <c r="E131" s="149"/>
      <c r="F131" s="149"/>
    </row>
    <row r="132" spans="1:6">
      <c r="A132" s="149"/>
      <c r="B132" s="149"/>
      <c r="C132" s="149"/>
      <c r="D132" s="149"/>
      <c r="E132" s="149"/>
      <c r="F132" s="149"/>
    </row>
    <row r="133" spans="1:6">
      <c r="A133" s="149"/>
      <c r="B133" s="149"/>
      <c r="C133" s="149"/>
      <c r="D133" s="149"/>
      <c r="E133" s="149"/>
      <c r="F133" s="149"/>
    </row>
    <row r="134" spans="1:6">
      <c r="A134" s="149"/>
      <c r="B134" s="149"/>
      <c r="C134" s="149"/>
      <c r="D134" s="149"/>
      <c r="E134" s="149"/>
      <c r="F134" s="149"/>
    </row>
    <row r="135" spans="1:6">
      <c r="A135" s="149"/>
      <c r="B135" s="149"/>
      <c r="C135" s="149"/>
      <c r="D135" s="149"/>
      <c r="E135" s="149"/>
      <c r="F135" s="149"/>
    </row>
  </sheetData>
  <sheetProtection algorithmName="SHA-512" hashValue="YlCKVJzvH8iCruNU2IQLjy3HL/icqnasTtvQxzF3zA9qjPEZsjsadEhpGPCMbofHItw4Q5rctfERg/0e5IaHbQ==" saltValue="OWvyA8nkQaHe1r74HMOoVg==" spinCount="100000" sheet="1" objects="1" scenarios="1"/>
  <mergeCells count="1">
    <mergeCell ref="A1:C1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54" orientation="portrait" verticalDpi="597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tabColor rgb="FFFF0000"/>
  </sheetPr>
  <dimension ref="A1:AF375"/>
  <sheetViews>
    <sheetView showGridLines="0" topLeftCell="A189" zoomScale="90" zoomScaleNormal="90" workbookViewId="0">
      <selection activeCell="A213" sqref="A213"/>
    </sheetView>
  </sheetViews>
  <sheetFormatPr baseColWidth="10" defaultColWidth="11.44140625" defaultRowHeight="13.2"/>
  <cols>
    <col min="1" max="1" width="255.44140625" style="5" customWidth="1"/>
    <col min="2" max="2" width="14.6640625" style="9" customWidth="1"/>
    <col min="3" max="18" width="11.44140625" style="9"/>
    <col min="19" max="16384" width="11.44140625" style="1"/>
  </cols>
  <sheetData>
    <row r="1" spans="1:19" s="5" customFormat="1" ht="81.75" customHeight="1" thickBot="1">
      <c r="A1" s="300" t="s">
        <v>479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</row>
    <row r="2" spans="1:19" s="5" customFormat="1" ht="25.2" customHeight="1">
      <c r="A2" s="292" t="s">
        <v>148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</row>
    <row r="3" spans="1:19" s="5" customFormat="1" ht="25.2" customHeight="1">
      <c r="A3" s="292" t="s">
        <v>238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</row>
    <row r="4" spans="1:19" s="5" customFormat="1" ht="25.2" customHeight="1">
      <c r="A4" s="292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10"/>
    </row>
    <row r="5" spans="1:19" s="5" customFormat="1" ht="25.2" customHeight="1">
      <c r="A5" s="293" t="s">
        <v>147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10"/>
    </row>
    <row r="6" spans="1:19" s="5" customFormat="1" ht="25.2" customHeight="1">
      <c r="A6" s="294" t="s">
        <v>473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</row>
    <row r="7" spans="1:19" s="5" customFormat="1" ht="25.2" customHeight="1">
      <c r="A7" s="292" t="s">
        <v>152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</row>
    <row r="8" spans="1:19" s="5" customFormat="1" ht="25.2" customHeight="1">
      <c r="A8" s="292" t="s">
        <v>289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10"/>
    </row>
    <row r="9" spans="1:19" s="5" customFormat="1" ht="25.2" customHeight="1">
      <c r="A9" s="292" t="s">
        <v>150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10"/>
    </row>
    <row r="10" spans="1:19" s="5" customFormat="1" ht="25.2" customHeight="1">
      <c r="A10" s="292" t="s">
        <v>149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0"/>
    </row>
    <row r="11" spans="1:19" s="5" customFormat="1" ht="25.2" customHeight="1">
      <c r="A11" s="292" t="s">
        <v>151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10"/>
    </row>
    <row r="12" spans="1:19" s="5" customFormat="1" ht="25.2" customHeight="1">
      <c r="A12" s="295" t="s">
        <v>474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10"/>
    </row>
    <row r="13" spans="1:19" s="5" customFormat="1" ht="25.2" customHeight="1">
      <c r="A13" s="292" t="s">
        <v>178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10"/>
    </row>
    <row r="14" spans="1:19" s="5" customFormat="1" ht="25.2" customHeight="1">
      <c r="A14" s="296" t="s">
        <v>179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10"/>
    </row>
    <row r="15" spans="1:19" s="5" customFormat="1" ht="25.2" customHeight="1">
      <c r="A15" s="292" t="s">
        <v>153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10"/>
    </row>
    <row r="16" spans="1:19" s="5" customFormat="1" ht="25.2" customHeight="1">
      <c r="A16" s="292" t="s">
        <v>154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10"/>
    </row>
    <row r="17" spans="1:19" s="5" customFormat="1" ht="25.2" customHeight="1">
      <c r="A17" s="292" t="s">
        <v>180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10"/>
    </row>
    <row r="18" spans="1:19" s="5" customFormat="1" ht="25.2" customHeight="1">
      <c r="A18" s="292" t="s">
        <v>155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10"/>
    </row>
    <row r="19" spans="1:19" s="5" customFormat="1" ht="25.2" customHeight="1">
      <c r="A19" s="292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0"/>
    </row>
    <row r="20" spans="1:19" s="5" customFormat="1" ht="25.2" customHeight="1">
      <c r="A20" s="293" t="s">
        <v>272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0"/>
    </row>
    <row r="21" spans="1:19" s="5" customFormat="1" ht="25.2" customHeight="1">
      <c r="A21" s="295" t="s">
        <v>475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10"/>
    </row>
    <row r="22" spans="1:19" s="5" customFormat="1" ht="25.2" customHeight="1">
      <c r="A22" s="292" t="s">
        <v>165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10"/>
    </row>
    <row r="23" spans="1:19" s="5" customFormat="1" ht="25.2" customHeight="1">
      <c r="A23" s="292" t="s">
        <v>163</v>
      </c>
      <c r="B23" s="7"/>
      <c r="C23" s="7"/>
      <c r="D23" s="7"/>
      <c r="E23" s="7"/>
      <c r="F23" s="7"/>
      <c r="G23" s="7"/>
      <c r="H23" s="7"/>
      <c r="I23" s="8"/>
      <c r="J23" s="7"/>
      <c r="K23" s="7"/>
      <c r="L23" s="7"/>
      <c r="M23" s="7"/>
      <c r="N23" s="7"/>
      <c r="O23" s="7"/>
      <c r="P23" s="7"/>
      <c r="Q23" s="7"/>
      <c r="R23" s="7"/>
      <c r="S23" s="10"/>
    </row>
    <row r="24" spans="1:19" s="5" customFormat="1" ht="25.2" customHeight="1">
      <c r="A24" s="292" t="s">
        <v>161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10"/>
    </row>
    <row r="25" spans="1:19" s="5" customFormat="1" ht="25.2" customHeight="1">
      <c r="A25" s="292" t="s">
        <v>273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10"/>
    </row>
    <row r="26" spans="1:19" s="5" customFormat="1" ht="25.2" customHeight="1">
      <c r="A26" s="292" t="s">
        <v>166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10"/>
    </row>
    <row r="27" spans="1:19" s="5" customFormat="1" ht="25.2" customHeight="1">
      <c r="A27" s="292" t="s">
        <v>162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10"/>
    </row>
    <row r="28" spans="1:19" s="5" customFormat="1" ht="25.2" customHeight="1">
      <c r="A28" s="292" t="s">
        <v>274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10"/>
    </row>
    <row r="29" spans="1:19" s="5" customFormat="1" ht="25.2" customHeight="1">
      <c r="A29" s="292" t="s">
        <v>164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10"/>
    </row>
    <row r="30" spans="1:19" s="5" customFormat="1" ht="25.2" customHeight="1">
      <c r="A30" s="292" t="s">
        <v>290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10"/>
    </row>
    <row r="31" spans="1:19" s="5" customFormat="1" ht="25.2" customHeight="1">
      <c r="A31" s="292" t="s">
        <v>291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10"/>
    </row>
    <row r="32" spans="1:19" s="5" customFormat="1" ht="25.2" customHeight="1">
      <c r="A32" s="292" t="s">
        <v>227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10"/>
    </row>
    <row r="33" spans="1:19" s="5" customFormat="1" ht="25.2" customHeight="1">
      <c r="A33" s="292" t="s">
        <v>275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10"/>
    </row>
    <row r="34" spans="1:19" s="5" customFormat="1" ht="25.2" customHeight="1">
      <c r="A34" s="292" t="s">
        <v>181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10"/>
    </row>
    <row r="35" spans="1:19" s="5" customFormat="1" ht="25.2" customHeight="1">
      <c r="A35" s="292" t="s">
        <v>228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10"/>
    </row>
    <row r="36" spans="1:19" s="5" customFormat="1" ht="25.2" customHeight="1">
      <c r="A36" s="292" t="s">
        <v>175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10"/>
    </row>
    <row r="37" spans="1:19" s="5" customFormat="1" ht="25.2" customHeight="1">
      <c r="A37" s="292" t="s">
        <v>176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10"/>
    </row>
    <row r="38" spans="1:19" s="5" customFormat="1" ht="25.2" customHeight="1">
      <c r="A38" s="292" t="s">
        <v>292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10"/>
    </row>
    <row r="39" spans="1:19" s="5" customFormat="1" ht="25.2" customHeight="1">
      <c r="A39" s="292" t="s">
        <v>177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10"/>
    </row>
    <row r="40" spans="1:19" s="5" customFormat="1" ht="25.2" customHeight="1">
      <c r="A40" s="292" t="s">
        <v>242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10"/>
    </row>
    <row r="41" spans="1:19" s="5" customFormat="1" ht="25.2" customHeight="1">
      <c r="A41" s="292" t="s">
        <v>229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10"/>
    </row>
    <row r="42" spans="1:19" s="5" customFormat="1" ht="25.2" customHeight="1">
      <c r="A42" s="292" t="s">
        <v>243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10"/>
    </row>
    <row r="43" spans="1:19" s="5" customFormat="1" ht="25.2" customHeight="1">
      <c r="A43" s="292" t="s">
        <v>230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10"/>
    </row>
    <row r="44" spans="1:19" s="5" customFormat="1" ht="25.2" customHeight="1">
      <c r="A44" s="292" t="s">
        <v>231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10"/>
    </row>
    <row r="45" spans="1:19" s="5" customFormat="1" ht="25.2" customHeight="1">
      <c r="A45" s="292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10"/>
    </row>
    <row r="46" spans="1:19" s="5" customFormat="1" ht="25.2" customHeight="1">
      <c r="A46" s="293" t="s">
        <v>276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10"/>
    </row>
    <row r="47" spans="1:19" s="5" customFormat="1" ht="25.2" customHeight="1">
      <c r="A47" s="295" t="s">
        <v>476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10"/>
    </row>
    <row r="48" spans="1:19" s="5" customFormat="1" ht="25.2" customHeight="1">
      <c r="A48" s="292" t="s">
        <v>233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10"/>
    </row>
    <row r="49" spans="1:19" s="5" customFormat="1" ht="25.2" customHeight="1">
      <c r="A49" s="292" t="s">
        <v>236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10"/>
    </row>
    <row r="50" spans="1:19" s="5" customFormat="1" ht="25.2" customHeight="1">
      <c r="A50" s="292" t="s">
        <v>237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10"/>
    </row>
    <row r="51" spans="1:19" s="5" customFormat="1" ht="25.2" customHeight="1">
      <c r="A51" s="292" t="s">
        <v>239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10"/>
    </row>
    <row r="52" spans="1:19" s="5" customFormat="1" ht="25.2" customHeight="1">
      <c r="A52" s="292" t="s">
        <v>240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10"/>
    </row>
    <row r="53" spans="1:19" s="5" customFormat="1" ht="25.2" customHeight="1">
      <c r="A53" s="295" t="s">
        <v>477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10"/>
    </row>
    <row r="54" spans="1:19" s="5" customFormat="1" ht="25.2" customHeight="1">
      <c r="A54" s="292" t="s">
        <v>234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10"/>
    </row>
    <row r="55" spans="1:19" s="5" customFormat="1" ht="25.2" customHeight="1">
      <c r="A55" s="292" t="s">
        <v>235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10"/>
    </row>
    <row r="56" spans="1:19" s="5" customFormat="1" ht="25.2" customHeight="1">
      <c r="A56" s="292" t="s">
        <v>232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10"/>
    </row>
    <row r="57" spans="1:19" s="5" customFormat="1" ht="25.2" customHeight="1">
      <c r="A57" s="292" t="s">
        <v>241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10"/>
    </row>
    <row r="58" spans="1:19" s="5" customFormat="1" ht="25.2" customHeight="1">
      <c r="A58" s="295" t="s">
        <v>478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10"/>
    </row>
    <row r="59" spans="1:19" s="5" customFormat="1" ht="25.2" customHeight="1">
      <c r="A59" s="292" t="s">
        <v>247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10"/>
    </row>
    <row r="60" spans="1:19" s="5" customFormat="1" ht="25.2" customHeight="1">
      <c r="A60" s="292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10"/>
    </row>
    <row r="61" spans="1:19" s="5" customFormat="1" ht="25.2" customHeight="1">
      <c r="A61" s="293" t="s">
        <v>277</v>
      </c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10"/>
    </row>
    <row r="62" spans="1:19" s="5" customFormat="1" ht="25.2" customHeight="1">
      <c r="A62" s="292" t="s">
        <v>278</v>
      </c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10"/>
    </row>
    <row r="63" spans="1:19" s="5" customFormat="1" ht="25.2" customHeight="1">
      <c r="A63" s="292" t="s">
        <v>253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10"/>
    </row>
    <row r="64" spans="1:19" s="5" customFormat="1" ht="25.2" customHeight="1">
      <c r="A64" s="292" t="s">
        <v>254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10"/>
    </row>
    <row r="65" spans="1:19" s="5" customFormat="1" ht="25.2" customHeight="1">
      <c r="A65" s="292" t="s">
        <v>255</v>
      </c>
      <c r="B65" s="8"/>
      <c r="C65" s="8"/>
      <c r="D65" s="8"/>
      <c r="E65" s="8"/>
      <c r="F65" s="8"/>
      <c r="G65" s="8"/>
      <c r="H65" s="8"/>
      <c r="I65" s="7"/>
      <c r="J65" s="7"/>
      <c r="K65" s="7"/>
      <c r="L65" s="7"/>
      <c r="M65" s="7"/>
      <c r="N65" s="7"/>
      <c r="O65" s="7"/>
      <c r="P65" s="7"/>
      <c r="Q65" s="7"/>
      <c r="R65" s="7"/>
      <c r="S65" s="10"/>
    </row>
    <row r="66" spans="1:19" s="5" customFormat="1" ht="25.2" customHeight="1">
      <c r="A66" s="292" t="s">
        <v>256</v>
      </c>
      <c r="B66" s="8"/>
      <c r="C66" s="8"/>
      <c r="D66" s="8"/>
      <c r="E66" s="8"/>
      <c r="F66" s="8"/>
      <c r="G66" s="8"/>
      <c r="H66" s="8"/>
      <c r="I66" s="7"/>
      <c r="J66" s="7"/>
      <c r="K66" s="7"/>
      <c r="L66" s="7"/>
      <c r="M66" s="7"/>
      <c r="N66" s="7"/>
      <c r="O66" s="7"/>
      <c r="P66" s="7"/>
      <c r="Q66" s="7"/>
      <c r="R66" s="7"/>
      <c r="S66" s="10"/>
    </row>
    <row r="67" spans="1:19" s="5" customFormat="1" ht="25.2" customHeight="1">
      <c r="A67" s="292" t="s">
        <v>257</v>
      </c>
      <c r="B67" s="8"/>
      <c r="C67" s="8"/>
      <c r="D67" s="8"/>
      <c r="E67" s="8"/>
      <c r="F67" s="8"/>
      <c r="G67" s="8"/>
      <c r="H67" s="8"/>
      <c r="I67" s="7"/>
      <c r="J67" s="7"/>
      <c r="K67" s="7"/>
      <c r="L67" s="7"/>
      <c r="M67" s="7"/>
      <c r="N67" s="7"/>
      <c r="O67" s="7"/>
      <c r="P67" s="7"/>
      <c r="Q67" s="7"/>
      <c r="R67" s="7"/>
      <c r="S67" s="10"/>
    </row>
    <row r="68" spans="1:19" s="5" customFormat="1" ht="25.2" customHeight="1">
      <c r="A68" s="292" t="s">
        <v>258</v>
      </c>
      <c r="B68" s="8"/>
      <c r="C68" s="8"/>
      <c r="D68" s="8"/>
      <c r="E68" s="8"/>
      <c r="F68" s="8"/>
      <c r="G68" s="8"/>
      <c r="H68" s="8"/>
      <c r="I68" s="7"/>
      <c r="J68" s="7"/>
      <c r="K68" s="7"/>
      <c r="L68" s="7"/>
      <c r="M68" s="7"/>
      <c r="N68" s="7"/>
      <c r="O68" s="7"/>
      <c r="P68" s="7"/>
      <c r="Q68" s="7"/>
      <c r="R68" s="7"/>
      <c r="S68" s="10"/>
    </row>
    <row r="69" spans="1:19" s="5" customFormat="1" ht="25.2" customHeight="1">
      <c r="A69" s="292" t="s">
        <v>267</v>
      </c>
      <c r="B69" s="8"/>
      <c r="C69" s="8"/>
      <c r="D69" s="8"/>
      <c r="E69" s="8"/>
      <c r="F69" s="8"/>
      <c r="G69" s="8"/>
      <c r="H69" s="8"/>
      <c r="I69" s="7"/>
      <c r="J69" s="7"/>
      <c r="K69" s="7"/>
      <c r="L69" s="7"/>
      <c r="M69" s="7"/>
      <c r="N69" s="7"/>
      <c r="O69" s="7"/>
      <c r="P69" s="7"/>
      <c r="Q69" s="7"/>
      <c r="R69" s="7"/>
      <c r="S69" s="10"/>
    </row>
    <row r="70" spans="1:19" s="5" customFormat="1" ht="25.2" customHeight="1">
      <c r="A70" s="292" t="s">
        <v>268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10"/>
    </row>
    <row r="71" spans="1:19" s="5" customFormat="1" ht="25.2" customHeight="1">
      <c r="A71" s="292" t="s">
        <v>269</v>
      </c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10"/>
    </row>
    <row r="72" spans="1:19" s="5" customFormat="1" ht="25.2" customHeight="1">
      <c r="A72" s="292" t="s">
        <v>270</v>
      </c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10"/>
    </row>
    <row r="73" spans="1:19" s="5" customFormat="1" ht="25.2" customHeight="1">
      <c r="A73" s="292" t="s">
        <v>271</v>
      </c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10"/>
    </row>
    <row r="74" spans="1:19" s="5" customFormat="1" ht="25.2" customHeight="1">
      <c r="A74" s="292" t="s">
        <v>250</v>
      </c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10"/>
    </row>
    <row r="75" spans="1:19" s="5" customFormat="1" ht="25.2" customHeight="1">
      <c r="A75" s="292" t="s">
        <v>251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10"/>
    </row>
    <row r="76" spans="1:19" s="5" customFormat="1" ht="25.2" customHeight="1">
      <c r="A76" s="292" t="s">
        <v>293</v>
      </c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10"/>
    </row>
    <row r="77" spans="1:19" s="5" customFormat="1" ht="25.2" customHeight="1">
      <c r="A77" s="292" t="s">
        <v>294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10"/>
    </row>
    <row r="78" spans="1:19" s="5" customFormat="1" ht="25.2" customHeight="1">
      <c r="A78" s="292" t="s">
        <v>295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10"/>
    </row>
    <row r="79" spans="1:19" s="5" customFormat="1" ht="25.2" customHeight="1">
      <c r="A79" s="292" t="s">
        <v>296</v>
      </c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10"/>
    </row>
    <row r="80" spans="1:19" s="5" customFormat="1" ht="25.2" customHeight="1">
      <c r="A80" s="292" t="s">
        <v>297</v>
      </c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10"/>
    </row>
    <row r="81" spans="1:19" s="5" customFormat="1" ht="25.2" customHeight="1">
      <c r="A81" s="292" t="s">
        <v>252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10"/>
    </row>
    <row r="82" spans="1:19" s="5" customFormat="1" ht="25.2" customHeight="1">
      <c r="A82" s="292" t="s">
        <v>298</v>
      </c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10"/>
    </row>
    <row r="83" spans="1:19" s="5" customFormat="1" ht="25.2" customHeight="1">
      <c r="A83" s="292" t="s">
        <v>299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10"/>
    </row>
    <row r="84" spans="1:19" s="5" customFormat="1" ht="25.2" customHeight="1">
      <c r="A84" s="292" t="s">
        <v>259</v>
      </c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10"/>
    </row>
    <row r="85" spans="1:19" s="5" customFormat="1" ht="25.2" customHeight="1">
      <c r="A85" s="292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10"/>
    </row>
    <row r="86" spans="1:19" s="5" customFormat="1" ht="25.2" customHeight="1">
      <c r="A86" s="293" t="s">
        <v>279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10"/>
    </row>
    <row r="87" spans="1:19" s="5" customFormat="1" ht="25.2" customHeight="1">
      <c r="A87" s="295" t="s">
        <v>476</v>
      </c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10"/>
    </row>
    <row r="88" spans="1:19" s="5" customFormat="1" ht="25.2" customHeight="1">
      <c r="A88" s="292" t="s">
        <v>262</v>
      </c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10"/>
    </row>
    <row r="89" spans="1:19" s="5" customFormat="1" ht="25.2" customHeight="1">
      <c r="A89" s="292" t="s">
        <v>285</v>
      </c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10"/>
    </row>
    <row r="90" spans="1:19" s="5" customFormat="1" ht="25.2" customHeight="1">
      <c r="A90" s="292" t="s">
        <v>282</v>
      </c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10"/>
    </row>
    <row r="91" spans="1:19" s="5" customFormat="1" ht="25.2" customHeight="1">
      <c r="A91" s="292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10"/>
    </row>
    <row r="92" spans="1:19" s="5" customFormat="1" ht="25.2" customHeight="1">
      <c r="A92" s="293" t="s">
        <v>263</v>
      </c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10"/>
    </row>
    <row r="93" spans="1:19" s="5" customFormat="1" ht="25.2" customHeight="1">
      <c r="A93" s="292" t="s">
        <v>264</v>
      </c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10"/>
    </row>
    <row r="94" spans="1:19" s="5" customFormat="1" ht="25.2" customHeight="1">
      <c r="A94" s="292" t="s">
        <v>265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10"/>
    </row>
    <row r="95" spans="1:19" s="5" customFormat="1" ht="25.2" customHeight="1">
      <c r="A95" s="292" t="s">
        <v>280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10"/>
    </row>
    <row r="96" spans="1:19" s="5" customFormat="1" ht="25.2" customHeight="1">
      <c r="A96" s="292" t="s">
        <v>266</v>
      </c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10"/>
    </row>
    <row r="97" spans="1:32" s="5" customFormat="1" ht="25.2" customHeight="1">
      <c r="A97" s="292" t="s">
        <v>283</v>
      </c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10"/>
    </row>
    <row r="98" spans="1:32" s="5" customFormat="1" ht="25.2" customHeight="1">
      <c r="A98" s="292" t="s">
        <v>286</v>
      </c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10"/>
    </row>
    <row r="99" spans="1:32" s="5" customFormat="1" ht="25.2" customHeight="1">
      <c r="A99" s="292" t="s">
        <v>284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10"/>
    </row>
    <row r="100" spans="1:32" s="4" customFormat="1" ht="25.2" customHeight="1">
      <c r="A100" s="292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</row>
    <row r="101" spans="1:32" s="5" customFormat="1" ht="25.2" customHeight="1">
      <c r="A101" s="293" t="s">
        <v>300</v>
      </c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1:32" s="5" customFormat="1" ht="25.2" customHeight="1">
      <c r="A102" s="292" t="s">
        <v>301</v>
      </c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1:32" s="5" customFormat="1" ht="25.2" customHeight="1">
      <c r="A103" s="292" t="s">
        <v>302</v>
      </c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1:32" s="5" customFormat="1" ht="25.2" customHeight="1">
      <c r="A104" s="292" t="s">
        <v>303</v>
      </c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1:32" s="5" customFormat="1" ht="25.2" customHeight="1">
      <c r="A105" s="292" t="s">
        <v>304</v>
      </c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1:32" ht="25.2" customHeight="1">
      <c r="A106" s="292" t="s">
        <v>305</v>
      </c>
    </row>
    <row r="107" spans="1:32" ht="25.2" customHeight="1">
      <c r="A107" s="292" t="s">
        <v>306</v>
      </c>
    </row>
    <row r="108" spans="1:32" ht="25.2" customHeight="1">
      <c r="A108" s="292" t="s">
        <v>307</v>
      </c>
    </row>
    <row r="109" spans="1:32" ht="25.2" customHeight="1">
      <c r="A109" s="292" t="s">
        <v>308</v>
      </c>
    </row>
    <row r="110" spans="1:32" ht="25.2" customHeight="1">
      <c r="A110" s="292" t="s">
        <v>309</v>
      </c>
    </row>
    <row r="111" spans="1:32" ht="25.2" customHeight="1">
      <c r="A111" s="292" t="s">
        <v>310</v>
      </c>
    </row>
    <row r="112" spans="1:32" ht="25.2" customHeight="1">
      <c r="A112" s="292" t="s">
        <v>311</v>
      </c>
    </row>
    <row r="113" spans="1:18" s="5" customFormat="1" ht="25.2" customHeight="1">
      <c r="A113" s="292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1:18" s="5" customFormat="1" ht="25.2" customHeight="1">
      <c r="A114" s="293" t="s">
        <v>312</v>
      </c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1:18" s="5" customFormat="1" ht="25.2" customHeight="1">
      <c r="A115" s="292" t="s">
        <v>313</v>
      </c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1:18" s="5" customFormat="1" ht="25.2" customHeight="1">
      <c r="A116" s="292" t="s">
        <v>336</v>
      </c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1:18" s="5" customFormat="1" ht="25.2" customHeight="1">
      <c r="A117" s="292" t="s">
        <v>335</v>
      </c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1:18" s="5" customFormat="1" ht="25.2" customHeight="1">
      <c r="A118" s="292" t="s">
        <v>337</v>
      </c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1:18" s="5" customFormat="1" ht="25.2" customHeight="1">
      <c r="A119" s="292" t="s">
        <v>314</v>
      </c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1:18" s="5" customFormat="1" ht="25.2" customHeight="1">
      <c r="A120" s="292" t="s">
        <v>315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1:18" s="5" customFormat="1" ht="25.2" customHeight="1">
      <c r="A121" s="292" t="s">
        <v>341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1:18" s="5" customFormat="1" ht="25.2" customHeight="1">
      <c r="A122" s="292" t="s">
        <v>340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1:18" s="5" customFormat="1" ht="25.2" customHeight="1">
      <c r="A123" s="292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1:18" s="5" customFormat="1" ht="25.2" customHeight="1">
      <c r="A124" s="293" t="s">
        <v>326</v>
      </c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1:18" s="5" customFormat="1" ht="25.2" customHeight="1">
      <c r="A125" s="292" t="s">
        <v>329</v>
      </c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1:18" s="5" customFormat="1" ht="25.2" customHeight="1">
      <c r="A126" s="292" t="s">
        <v>330</v>
      </c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1:18" s="5" customFormat="1" ht="25.2" customHeight="1">
      <c r="A127" s="292" t="s">
        <v>328</v>
      </c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1:18" s="5" customFormat="1" ht="25.2" customHeight="1">
      <c r="A128" s="292" t="s">
        <v>331</v>
      </c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1:18" s="5" customFormat="1" ht="25.2" customHeight="1">
      <c r="A129" s="292" t="s">
        <v>332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1:18" s="5" customFormat="1" ht="25.2" customHeight="1">
      <c r="A130" s="292" t="s">
        <v>333</v>
      </c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1:18" s="5" customFormat="1" ht="25.2" customHeight="1">
      <c r="A131" s="292" t="s">
        <v>334</v>
      </c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1:18" s="5" customFormat="1" ht="25.2" customHeight="1">
      <c r="A132" s="292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1:18" s="5" customFormat="1" ht="25.2" customHeight="1">
      <c r="A133" s="293" t="s">
        <v>339</v>
      </c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1:18" s="5" customFormat="1" ht="25.2" customHeight="1">
      <c r="A134" s="292" t="s">
        <v>338</v>
      </c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1:18" s="5" customFormat="1" ht="25.2" customHeight="1">
      <c r="A135" s="292" t="s">
        <v>347</v>
      </c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1:18" s="5" customFormat="1" ht="25.2" customHeight="1">
      <c r="A136" s="292" t="s">
        <v>348</v>
      </c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1:18" s="5" customFormat="1" ht="25.2" customHeight="1">
      <c r="A137" s="292" t="s">
        <v>344</v>
      </c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1:18" s="5" customFormat="1" ht="25.2" customHeight="1">
      <c r="A138" s="292" t="s">
        <v>342</v>
      </c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1:18" s="5" customFormat="1" ht="25.2" customHeight="1">
      <c r="A139" s="292" t="s">
        <v>343</v>
      </c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1:18" s="5" customFormat="1" ht="25.2" customHeight="1">
      <c r="A140" s="292" t="s">
        <v>345</v>
      </c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1:18" s="5" customFormat="1" ht="25.2" customHeight="1">
      <c r="A141" s="292" t="s">
        <v>346</v>
      </c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1:18" s="5" customFormat="1" ht="25.2" customHeight="1">
      <c r="A142" s="292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1:18" s="5" customFormat="1" ht="25.2" customHeight="1">
      <c r="A143" s="293" t="s">
        <v>351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1:18" s="5" customFormat="1" ht="25.2" customHeight="1">
      <c r="A144" s="292" t="s">
        <v>356</v>
      </c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1:18" s="5" customFormat="1" ht="25.2" customHeight="1">
      <c r="A145" s="292" t="s">
        <v>359</v>
      </c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1:18" s="5" customFormat="1" ht="25.2" customHeight="1">
      <c r="A146" s="292" t="s">
        <v>352</v>
      </c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1:18" s="5" customFormat="1" ht="25.2" customHeight="1">
      <c r="A147" s="292" t="s">
        <v>353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1:18" s="5" customFormat="1" ht="25.2" customHeight="1">
      <c r="A148" s="292" t="s">
        <v>354</v>
      </c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1:18" s="5" customFormat="1" ht="25.2" customHeight="1">
      <c r="A149" s="292" t="s">
        <v>357</v>
      </c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1:18" s="5" customFormat="1" ht="25.2" customHeight="1">
      <c r="A150" s="292" t="s">
        <v>355</v>
      </c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1:18" ht="21.75" customHeight="1">
      <c r="A151" s="292" t="s">
        <v>358</v>
      </c>
    </row>
    <row r="152" spans="1:18" s="5" customFormat="1" ht="25.2" customHeight="1">
      <c r="A152" s="292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1:18" s="5" customFormat="1" ht="25.2" customHeight="1">
      <c r="A153" s="293" t="s">
        <v>360</v>
      </c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1:18" s="5" customFormat="1" ht="25.2" customHeight="1">
      <c r="A154" s="292" t="s">
        <v>361</v>
      </c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1:18" s="5" customFormat="1" ht="25.2" customHeight="1">
      <c r="A155" s="292" t="s">
        <v>365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1:18" s="5" customFormat="1" ht="25.2" customHeight="1">
      <c r="A156" s="292" t="s">
        <v>366</v>
      </c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1:18" s="5" customFormat="1" ht="25.2" customHeight="1">
      <c r="A157" s="292" t="s">
        <v>362</v>
      </c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1:18" s="5" customFormat="1" ht="25.2" customHeight="1">
      <c r="A158" s="292" t="s">
        <v>363</v>
      </c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1:18" s="5" customFormat="1" ht="25.2" customHeight="1">
      <c r="A159" s="292" t="s">
        <v>364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1:18" s="5" customFormat="1" ht="25.2" customHeight="1">
      <c r="A160" s="292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1:18" s="5" customFormat="1" ht="25.2" customHeight="1">
      <c r="A161" s="293" t="s">
        <v>397</v>
      </c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1:18" s="5" customFormat="1" ht="25.2" customHeight="1">
      <c r="A162" s="292" t="s">
        <v>398</v>
      </c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1:18" s="5" customFormat="1" ht="25.2" customHeight="1">
      <c r="A163" s="292" t="s">
        <v>395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1:18" s="5" customFormat="1" ht="25.2" customHeight="1">
      <c r="A164" s="292" t="s">
        <v>396</v>
      </c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1:18" s="5" customFormat="1" ht="25.2" customHeight="1">
      <c r="A165" s="292" t="s">
        <v>328</v>
      </c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1:18" s="5" customFormat="1" ht="25.2" customHeight="1">
      <c r="A166" s="292" t="s">
        <v>331</v>
      </c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1:18" s="5" customFormat="1" ht="25.2" customHeight="1">
      <c r="A167" s="292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1:18" s="5" customFormat="1" ht="25.2" customHeight="1">
      <c r="A168" s="293" t="s">
        <v>400</v>
      </c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1:18" s="5" customFormat="1" ht="25.2" customHeight="1">
      <c r="A169" s="292" t="s">
        <v>401</v>
      </c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1:18" s="5" customFormat="1" ht="25.2" customHeight="1">
      <c r="A170" s="292" t="s">
        <v>402</v>
      </c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1:18" s="5" customFormat="1" ht="25.2" customHeight="1">
      <c r="A171" s="292" t="s">
        <v>403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1:18" s="5" customFormat="1" ht="25.2" customHeight="1">
      <c r="A172" s="292" t="s">
        <v>405</v>
      </c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1:18" s="5" customFormat="1" ht="25.2" customHeight="1">
      <c r="A173" s="292" t="s">
        <v>404</v>
      </c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1:18" s="5" customFormat="1" ht="25.2" customHeight="1">
      <c r="A174" s="292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1:18" s="5" customFormat="1" ht="25.2" customHeight="1">
      <c r="A175" s="293" t="s">
        <v>410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1:18" s="5" customFormat="1" ht="25.2" customHeight="1">
      <c r="A176" s="292" t="s">
        <v>413</v>
      </c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1:18" s="5" customFormat="1" ht="25.2" customHeight="1">
      <c r="A177" s="292" t="s">
        <v>414</v>
      </c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1:18" s="5" customFormat="1" ht="25.2" customHeight="1">
      <c r="A178" s="292" t="s">
        <v>411</v>
      </c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1:18" s="5" customFormat="1" ht="25.2" customHeight="1">
      <c r="A179" s="292" t="s">
        <v>412</v>
      </c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1:18" s="5" customFormat="1" ht="25.2" customHeight="1">
      <c r="A180" s="292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1:18" s="5" customFormat="1" ht="25.2" customHeight="1">
      <c r="A181" s="293" t="s">
        <v>415</v>
      </c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1:18" s="5" customFormat="1" ht="25.2" customHeight="1">
      <c r="A182" s="292" t="s">
        <v>416</v>
      </c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1:18" s="5" customFormat="1" ht="25.2" customHeight="1">
      <c r="A183" s="292" t="s">
        <v>417</v>
      </c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1:18" s="5" customFormat="1" ht="25.2" customHeight="1">
      <c r="A184" s="292" t="s">
        <v>418</v>
      </c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1:18" s="5" customFormat="1" ht="25.2" customHeight="1">
      <c r="A185" s="292" t="s">
        <v>432</v>
      </c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1:18" s="5" customFormat="1" ht="25.2" customHeight="1">
      <c r="A186" s="292" t="s">
        <v>433</v>
      </c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1:18" s="5" customFormat="1" ht="25.2" customHeight="1">
      <c r="A187" s="292" t="s">
        <v>428</v>
      </c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1:18" s="5" customFormat="1" ht="25.2" customHeight="1">
      <c r="A188" s="292" t="s">
        <v>419</v>
      </c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1:18" s="5" customFormat="1" ht="25.2" customHeight="1">
      <c r="A189" s="292" t="s">
        <v>420</v>
      </c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1:18" s="5" customFormat="1" ht="25.2" customHeight="1">
      <c r="A190" s="292" t="s">
        <v>429</v>
      </c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1:18" s="5" customFormat="1" ht="25.2" customHeight="1">
      <c r="A191" s="292" t="s">
        <v>430</v>
      </c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1:18" s="5" customFormat="1" ht="25.2" customHeight="1">
      <c r="A192" s="292" t="s">
        <v>431</v>
      </c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1:18" s="5" customFormat="1" ht="25.2" customHeight="1">
      <c r="A193" s="294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1:18" s="5" customFormat="1" ht="25.2" customHeight="1">
      <c r="A194" s="293" t="s">
        <v>483</v>
      </c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1:18" s="5" customFormat="1" ht="25.2" customHeight="1">
      <c r="A195" s="292" t="s">
        <v>489</v>
      </c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1:18" s="5" customFormat="1" ht="25.2" customHeight="1">
      <c r="A196" s="292" t="s">
        <v>484</v>
      </c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1:18" s="5" customFormat="1" ht="25.2" customHeight="1">
      <c r="A197" s="292" t="s">
        <v>485</v>
      </c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1:18" s="5" customFormat="1" ht="25.2" customHeight="1">
      <c r="A198" s="292" t="s">
        <v>486</v>
      </c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1:18" s="5" customFormat="1" ht="25.2" customHeight="1">
      <c r="A199" s="292" t="s">
        <v>487</v>
      </c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1:18" s="5" customFormat="1" ht="25.2" customHeight="1">
      <c r="A200" s="292" t="s">
        <v>488</v>
      </c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1:18" s="5" customFormat="1" ht="25.2" customHeight="1">
      <c r="A201" s="292" t="s">
        <v>490</v>
      </c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1:18" s="5" customFormat="1" ht="25.2" customHeight="1">
      <c r="A202" s="292" t="s">
        <v>491</v>
      </c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1:18" s="5" customFormat="1" ht="25.2" customHeight="1">
      <c r="A203" s="292" t="s">
        <v>492</v>
      </c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1:18" s="5" customFormat="1" ht="25.2" customHeight="1">
      <c r="A204" s="293" t="s">
        <v>504</v>
      </c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1:18" s="5" customFormat="1" ht="25.2" customHeight="1">
      <c r="A205" s="292" t="s">
        <v>505</v>
      </c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1:18" ht="20.399999999999999">
      <c r="A206" s="291" t="s">
        <v>506</v>
      </c>
    </row>
    <row r="207" spans="1:18" ht="20.399999999999999">
      <c r="A207" s="291" t="s">
        <v>509</v>
      </c>
    </row>
    <row r="208" spans="1:18" ht="20.399999999999999">
      <c r="A208" s="291" t="s">
        <v>507</v>
      </c>
    </row>
    <row r="209" spans="1:1" ht="20.399999999999999">
      <c r="A209" s="291" t="s">
        <v>508</v>
      </c>
    </row>
    <row r="210" spans="1:1" ht="20.399999999999999">
      <c r="A210" s="291"/>
    </row>
    <row r="211" spans="1:1" ht="20.399999999999999">
      <c r="A211" s="291"/>
    </row>
    <row r="212" spans="1:1" ht="20.399999999999999">
      <c r="A212" s="291"/>
    </row>
    <row r="213" spans="1:1" ht="20.399999999999999">
      <c r="A213" s="291"/>
    </row>
    <row r="214" spans="1:1" ht="20.399999999999999">
      <c r="A214" s="291"/>
    </row>
    <row r="215" spans="1:1" ht="20.399999999999999">
      <c r="A215" s="291"/>
    </row>
    <row r="216" spans="1:1" ht="20.399999999999999">
      <c r="A216" s="291"/>
    </row>
    <row r="217" spans="1:1" ht="20.399999999999999">
      <c r="A217" s="291"/>
    </row>
    <row r="218" spans="1:1" ht="20.399999999999999">
      <c r="A218" s="291"/>
    </row>
    <row r="219" spans="1:1" ht="20.399999999999999">
      <c r="A219" s="291"/>
    </row>
    <row r="220" spans="1:1" ht="20.399999999999999">
      <c r="A220" s="291"/>
    </row>
    <row r="221" spans="1:1" ht="20.399999999999999">
      <c r="A221" s="291"/>
    </row>
    <row r="222" spans="1:1" ht="20.399999999999999">
      <c r="A222" s="291"/>
    </row>
    <row r="223" spans="1:1" ht="20.399999999999999">
      <c r="A223" s="291"/>
    </row>
    <row r="224" spans="1:1" ht="20.399999999999999">
      <c r="A224" s="291"/>
    </row>
    <row r="225" spans="1:1" ht="20.399999999999999">
      <c r="A225" s="291"/>
    </row>
    <row r="226" spans="1:1" ht="20.399999999999999">
      <c r="A226" s="291"/>
    </row>
    <row r="227" spans="1:1" ht="20.399999999999999">
      <c r="A227" s="291"/>
    </row>
    <row r="228" spans="1:1" ht="20.399999999999999">
      <c r="A228" s="291"/>
    </row>
    <row r="229" spans="1:1" ht="20.399999999999999">
      <c r="A229" s="291"/>
    </row>
    <row r="230" spans="1:1" ht="20.399999999999999">
      <c r="A230" s="291"/>
    </row>
    <row r="231" spans="1:1" ht="20.399999999999999">
      <c r="A231" s="291"/>
    </row>
    <row r="232" spans="1:1" ht="20.399999999999999">
      <c r="A232" s="291"/>
    </row>
    <row r="233" spans="1:1" ht="20.399999999999999">
      <c r="A233" s="291"/>
    </row>
    <row r="234" spans="1:1" ht="20.399999999999999">
      <c r="A234" s="291"/>
    </row>
    <row r="235" spans="1:1" ht="20.399999999999999">
      <c r="A235" s="291"/>
    </row>
    <row r="236" spans="1:1" ht="20.399999999999999">
      <c r="A236" s="291"/>
    </row>
    <row r="237" spans="1:1" ht="20.399999999999999">
      <c r="A237" s="291"/>
    </row>
    <row r="238" spans="1:1" ht="20.399999999999999">
      <c r="A238" s="291"/>
    </row>
    <row r="239" spans="1:1" ht="20.399999999999999">
      <c r="A239" s="291"/>
    </row>
    <row r="240" spans="1:1" ht="20.399999999999999">
      <c r="A240" s="291"/>
    </row>
    <row r="241" spans="1:1" ht="20.399999999999999">
      <c r="A241" s="366"/>
    </row>
    <row r="242" spans="1:1" ht="20.399999999999999">
      <c r="A242" s="366"/>
    </row>
    <row r="243" spans="1:1" ht="20.399999999999999">
      <c r="A243" s="366"/>
    </row>
    <row r="244" spans="1:1" ht="20.399999999999999">
      <c r="A244" s="366"/>
    </row>
    <row r="245" spans="1:1" ht="20.399999999999999">
      <c r="A245" s="366"/>
    </row>
    <row r="246" spans="1:1" ht="20.399999999999999">
      <c r="A246" s="366"/>
    </row>
    <row r="247" spans="1:1" ht="20.399999999999999">
      <c r="A247" s="366"/>
    </row>
    <row r="248" spans="1:1" ht="20.399999999999999">
      <c r="A248" s="366"/>
    </row>
    <row r="249" spans="1:1" ht="20.399999999999999">
      <c r="A249" s="366"/>
    </row>
    <row r="250" spans="1:1" ht="20.399999999999999">
      <c r="A250" s="366"/>
    </row>
    <row r="251" spans="1:1" ht="20.399999999999999">
      <c r="A251" s="366"/>
    </row>
    <row r="252" spans="1:1" ht="20.399999999999999">
      <c r="A252" s="366"/>
    </row>
    <row r="253" spans="1:1" ht="20.399999999999999">
      <c r="A253" s="366"/>
    </row>
    <row r="254" spans="1:1" ht="20.399999999999999">
      <c r="A254" s="366"/>
    </row>
    <row r="255" spans="1:1" ht="20.399999999999999">
      <c r="A255" s="366"/>
    </row>
    <row r="256" spans="1:1" ht="20.399999999999999">
      <c r="A256" s="366"/>
    </row>
    <row r="257" spans="1:1" ht="20.399999999999999">
      <c r="A257" s="366"/>
    </row>
    <row r="258" spans="1:1" ht="20.399999999999999">
      <c r="A258" s="366"/>
    </row>
    <row r="259" spans="1:1" ht="20.399999999999999">
      <c r="A259" s="366"/>
    </row>
    <row r="260" spans="1:1" ht="20.399999999999999">
      <c r="A260" s="366"/>
    </row>
    <row r="261" spans="1:1" ht="20.399999999999999">
      <c r="A261" s="366"/>
    </row>
    <row r="262" spans="1:1" ht="20.399999999999999">
      <c r="A262" s="366"/>
    </row>
    <row r="263" spans="1:1" ht="20.399999999999999">
      <c r="A263" s="366"/>
    </row>
    <row r="264" spans="1:1" ht="20.399999999999999">
      <c r="A264" s="366"/>
    </row>
    <row r="265" spans="1:1" ht="20.399999999999999">
      <c r="A265" s="366"/>
    </row>
    <row r="266" spans="1:1" ht="20.399999999999999">
      <c r="A266" s="366"/>
    </row>
    <row r="267" spans="1:1" ht="20.399999999999999">
      <c r="A267" s="366"/>
    </row>
    <row r="268" spans="1:1" ht="20.399999999999999">
      <c r="A268" s="366"/>
    </row>
    <row r="269" spans="1:1" ht="20.399999999999999">
      <c r="A269" s="366"/>
    </row>
    <row r="270" spans="1:1" ht="20.399999999999999">
      <c r="A270" s="366"/>
    </row>
    <row r="271" spans="1:1" ht="20.399999999999999">
      <c r="A271" s="366"/>
    </row>
    <row r="272" spans="1:1" ht="20.399999999999999">
      <c r="A272" s="366"/>
    </row>
    <row r="273" spans="1:1" ht="20.399999999999999">
      <c r="A273" s="366"/>
    </row>
    <row r="274" spans="1:1" ht="20.399999999999999">
      <c r="A274" s="366"/>
    </row>
    <row r="275" spans="1:1" ht="20.399999999999999">
      <c r="A275" s="366"/>
    </row>
    <row r="276" spans="1:1" ht="20.399999999999999">
      <c r="A276" s="366"/>
    </row>
    <row r="277" spans="1:1" ht="20.399999999999999">
      <c r="A277" s="366"/>
    </row>
    <row r="278" spans="1:1" ht="20.399999999999999">
      <c r="A278" s="366"/>
    </row>
    <row r="279" spans="1:1" ht="20.399999999999999">
      <c r="A279" s="366"/>
    </row>
    <row r="280" spans="1:1" ht="20.399999999999999">
      <c r="A280" s="366"/>
    </row>
    <row r="281" spans="1:1" ht="20.399999999999999">
      <c r="A281" s="366"/>
    </row>
    <row r="282" spans="1:1" ht="20.399999999999999">
      <c r="A282" s="366"/>
    </row>
    <row r="283" spans="1:1" ht="20.399999999999999">
      <c r="A283" s="366"/>
    </row>
    <row r="284" spans="1:1" ht="20.399999999999999">
      <c r="A284" s="366"/>
    </row>
    <row r="285" spans="1:1" ht="20.399999999999999">
      <c r="A285" s="366"/>
    </row>
    <row r="286" spans="1:1" ht="20.399999999999999">
      <c r="A286" s="366"/>
    </row>
    <row r="287" spans="1:1" ht="20.399999999999999">
      <c r="A287" s="366"/>
    </row>
    <row r="288" spans="1:1" ht="20.399999999999999">
      <c r="A288" s="366"/>
    </row>
    <row r="289" spans="1:1" ht="20.399999999999999">
      <c r="A289" s="366"/>
    </row>
    <row r="290" spans="1:1" ht="20.399999999999999">
      <c r="A290" s="366"/>
    </row>
    <row r="291" spans="1:1" ht="20.399999999999999">
      <c r="A291" s="366"/>
    </row>
    <row r="292" spans="1:1" ht="20.399999999999999">
      <c r="A292" s="366"/>
    </row>
    <row r="293" spans="1:1" ht="20.399999999999999">
      <c r="A293" s="366"/>
    </row>
    <row r="294" spans="1:1" ht="20.399999999999999">
      <c r="A294" s="366"/>
    </row>
    <row r="295" spans="1:1" ht="20.399999999999999">
      <c r="A295" s="366"/>
    </row>
    <row r="296" spans="1:1" ht="20.399999999999999">
      <c r="A296" s="366"/>
    </row>
    <row r="297" spans="1:1" ht="20.399999999999999">
      <c r="A297" s="366"/>
    </row>
    <row r="298" spans="1:1" ht="20.399999999999999">
      <c r="A298" s="366"/>
    </row>
    <row r="299" spans="1:1" ht="20.399999999999999">
      <c r="A299" s="366"/>
    </row>
    <row r="300" spans="1:1" ht="20.399999999999999">
      <c r="A300" s="366"/>
    </row>
    <row r="301" spans="1:1" ht="20.399999999999999">
      <c r="A301" s="366"/>
    </row>
    <row r="302" spans="1:1" ht="20.399999999999999">
      <c r="A302" s="366"/>
    </row>
    <row r="303" spans="1:1" ht="20.399999999999999">
      <c r="A303" s="366"/>
    </row>
    <row r="304" spans="1:1" ht="20.399999999999999">
      <c r="A304" s="366"/>
    </row>
    <row r="305" spans="1:1" ht="20.399999999999999">
      <c r="A305" s="366"/>
    </row>
    <row r="306" spans="1:1" ht="20.399999999999999">
      <c r="A306" s="366"/>
    </row>
    <row r="307" spans="1:1" ht="20.399999999999999">
      <c r="A307" s="366"/>
    </row>
    <row r="308" spans="1:1" ht="20.399999999999999">
      <c r="A308" s="366"/>
    </row>
    <row r="309" spans="1:1" ht="20.399999999999999">
      <c r="A309" s="366"/>
    </row>
    <row r="310" spans="1:1" ht="20.399999999999999">
      <c r="A310" s="366"/>
    </row>
    <row r="311" spans="1:1" ht="20.399999999999999">
      <c r="A311" s="366"/>
    </row>
    <row r="312" spans="1:1" ht="20.399999999999999">
      <c r="A312" s="366"/>
    </row>
    <row r="313" spans="1:1" ht="20.399999999999999">
      <c r="A313" s="366"/>
    </row>
    <row r="314" spans="1:1" ht="20.399999999999999">
      <c r="A314" s="366"/>
    </row>
    <row r="315" spans="1:1" ht="20.399999999999999">
      <c r="A315" s="366"/>
    </row>
    <row r="316" spans="1:1" ht="20.399999999999999">
      <c r="A316" s="366"/>
    </row>
    <row r="317" spans="1:1" ht="20.399999999999999">
      <c r="A317" s="366"/>
    </row>
    <row r="318" spans="1:1" ht="20.399999999999999">
      <c r="A318" s="366"/>
    </row>
    <row r="319" spans="1:1" ht="20.399999999999999">
      <c r="A319" s="366"/>
    </row>
    <row r="320" spans="1:1" ht="20.399999999999999">
      <c r="A320" s="366"/>
    </row>
    <row r="321" spans="1:1" ht="20.399999999999999">
      <c r="A321" s="366"/>
    </row>
    <row r="322" spans="1:1" ht="20.399999999999999">
      <c r="A322" s="366"/>
    </row>
    <row r="323" spans="1:1" ht="20.399999999999999">
      <c r="A323" s="366"/>
    </row>
    <row r="324" spans="1:1" ht="20.399999999999999">
      <c r="A324" s="366"/>
    </row>
    <row r="325" spans="1:1" ht="20.399999999999999">
      <c r="A325" s="366"/>
    </row>
    <row r="326" spans="1:1" ht="20.399999999999999">
      <c r="A326" s="366"/>
    </row>
    <row r="327" spans="1:1" ht="20.399999999999999">
      <c r="A327" s="366"/>
    </row>
    <row r="328" spans="1:1" ht="20.399999999999999">
      <c r="A328" s="366"/>
    </row>
    <row r="329" spans="1:1" ht="20.399999999999999">
      <c r="A329" s="366"/>
    </row>
    <row r="330" spans="1:1" ht="20.399999999999999">
      <c r="A330" s="366"/>
    </row>
    <row r="331" spans="1:1" ht="20.399999999999999">
      <c r="A331" s="366"/>
    </row>
    <row r="332" spans="1:1" ht="20.399999999999999">
      <c r="A332" s="366"/>
    </row>
    <row r="333" spans="1:1" ht="20.399999999999999">
      <c r="A333" s="366"/>
    </row>
    <row r="334" spans="1:1" ht="20.399999999999999">
      <c r="A334" s="366"/>
    </row>
    <row r="335" spans="1:1" ht="20.399999999999999">
      <c r="A335" s="366"/>
    </row>
    <row r="336" spans="1:1" ht="20.399999999999999">
      <c r="A336" s="366"/>
    </row>
    <row r="337" spans="1:1" ht="20.399999999999999">
      <c r="A337" s="366"/>
    </row>
    <row r="338" spans="1:1" ht="20.399999999999999">
      <c r="A338" s="366"/>
    </row>
    <row r="339" spans="1:1" ht="20.399999999999999">
      <c r="A339" s="366"/>
    </row>
    <row r="340" spans="1:1" ht="20.399999999999999">
      <c r="A340" s="366"/>
    </row>
    <row r="341" spans="1:1" ht="20.399999999999999">
      <c r="A341" s="366"/>
    </row>
    <row r="342" spans="1:1" ht="20.399999999999999">
      <c r="A342" s="366"/>
    </row>
    <row r="343" spans="1:1" ht="20.399999999999999">
      <c r="A343" s="366"/>
    </row>
    <row r="344" spans="1:1" ht="20.399999999999999">
      <c r="A344" s="366"/>
    </row>
    <row r="345" spans="1:1" ht="20.399999999999999">
      <c r="A345" s="366"/>
    </row>
    <row r="346" spans="1:1" ht="20.399999999999999">
      <c r="A346" s="366"/>
    </row>
    <row r="347" spans="1:1" ht="20.399999999999999">
      <c r="A347" s="366"/>
    </row>
    <row r="348" spans="1:1" ht="13.8">
      <c r="A348" s="367"/>
    </row>
    <row r="349" spans="1:1">
      <c r="A349" s="290"/>
    </row>
    <row r="350" spans="1:1">
      <c r="A350" s="290"/>
    </row>
    <row r="351" spans="1:1">
      <c r="A351" s="290"/>
    </row>
    <row r="352" spans="1:1">
      <c r="A352" s="290"/>
    </row>
    <row r="353" spans="1:1">
      <c r="A353" s="290"/>
    </row>
    <row r="354" spans="1:1">
      <c r="A354" s="290"/>
    </row>
    <row r="355" spans="1:1">
      <c r="A355" s="290"/>
    </row>
    <row r="356" spans="1:1">
      <c r="A356" s="290"/>
    </row>
    <row r="357" spans="1:1">
      <c r="A357" s="290"/>
    </row>
    <row r="358" spans="1:1">
      <c r="A358" s="290"/>
    </row>
    <row r="359" spans="1:1">
      <c r="A359" s="290"/>
    </row>
    <row r="360" spans="1:1">
      <c r="A360" s="290"/>
    </row>
    <row r="361" spans="1:1">
      <c r="A361" s="290"/>
    </row>
    <row r="362" spans="1:1">
      <c r="A362" s="290"/>
    </row>
    <row r="363" spans="1:1">
      <c r="A363" s="290"/>
    </row>
    <row r="364" spans="1:1">
      <c r="A364" s="290"/>
    </row>
    <row r="365" spans="1:1">
      <c r="A365" s="290"/>
    </row>
    <row r="366" spans="1:1">
      <c r="A366" s="290"/>
    </row>
    <row r="367" spans="1:1">
      <c r="A367" s="290"/>
    </row>
    <row r="368" spans="1:1">
      <c r="A368" s="290"/>
    </row>
    <row r="369" spans="1:1">
      <c r="A369" s="290"/>
    </row>
    <row r="370" spans="1:1">
      <c r="A370" s="290"/>
    </row>
    <row r="371" spans="1:1">
      <c r="A371" s="290"/>
    </row>
    <row r="372" spans="1:1">
      <c r="A372" s="290"/>
    </row>
    <row r="373" spans="1:1">
      <c r="A373" s="290"/>
    </row>
    <row r="374" spans="1:1">
      <c r="A374" s="290"/>
    </row>
    <row r="375" spans="1:1">
      <c r="A375" s="290"/>
    </row>
  </sheetData>
  <sheetProtection algorithmName="SHA-512" hashValue="2zHULBI94CVHC5VPvXnPbj+Nqm3blQj9uq6xWOyEChnAEykk1Ha6vgDgsceXq3mf0fkSwnsIppsPLu/X2BFHWQ==" saltValue="tTxnGMXq4aZxHPAf7Wqq3g==" spinCount="100000" sheet="1" objects="1" scenarios="1"/>
  <pageMargins left="0.7" right="0.7" top="0.75" bottom="0.75" header="0.3" footer="0.3"/>
  <pageSetup paperSize="9" scale="43" fitToHeight="0" orientation="portrait" r:id="rId1"/>
  <rowBreaks count="3" manualBreakCount="3">
    <brk id="60" man="1"/>
    <brk id="123" man="1"/>
    <brk id="18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2"/>
  <sheetViews>
    <sheetView workbookViewId="0">
      <selection activeCell="D23" sqref="D23"/>
    </sheetView>
  </sheetViews>
  <sheetFormatPr baseColWidth="10" defaultRowHeight="13.2"/>
  <sheetData>
    <row r="2" spans="1:1">
      <c r="A2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Erfassung Daten</vt:lpstr>
      <vt:lpstr>Erfassung DkfL</vt:lpstr>
      <vt:lpstr>Lagerstätten</vt:lpstr>
      <vt:lpstr>Protokoll</vt:lpstr>
      <vt:lpstr>Dokumentation</vt:lpstr>
      <vt:lpstr>Tabelle1</vt:lpstr>
      <vt:lpstr>Dokumentation!Druckbereich</vt:lpstr>
      <vt:lpstr>'Erfassung Daten'!Druckbereich</vt:lpstr>
      <vt:lpstr>'Erfassung DkfL'!Druckbereich</vt:lpstr>
      <vt:lpstr>Lagerstätten!Druckbereich</vt:lpstr>
      <vt:lpstr>Protokoll!Druckbereich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Kalverkamp</dc:creator>
  <cp:lastModifiedBy>Franziska Korves</cp:lastModifiedBy>
  <cp:lastPrinted>2023-05-16T10:40:04Z</cp:lastPrinted>
  <dcterms:created xsi:type="dcterms:W3CDTF">2006-12-28T11:37:04Z</dcterms:created>
  <dcterms:modified xsi:type="dcterms:W3CDTF">2023-06-13T13:06:34Z</dcterms:modified>
</cp:coreProperties>
</file>